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76" yWindow="65521" windowWidth="15480" windowHeight="9465" tabRatio="736" activeTab="0"/>
  </bookViews>
  <sheets>
    <sheet name="CAPA" sheetId="1" r:id="rId1"/>
    <sheet name="Tutorial" sheetId="2" r:id="rId2"/>
    <sheet name="Cadastro" sheetId="3" r:id="rId3"/>
    <sheet name="SitSaúde" sheetId="4" r:id="rId4"/>
    <sheet name="AçõesColetivas" sheetId="5" r:id="rId5"/>
    <sheet name="Av.Risco e 1a Cons" sheetId="6" r:id="rId6"/>
    <sheet name="Tratamento" sheetId="7" r:id="rId7"/>
    <sheet name="Consolidado - com THD" sheetId="8" r:id="rId8"/>
    <sheet name="Consolidado - sem THD" sheetId="9" r:id="rId9"/>
    <sheet name="Monitoramento" sheetId="10" r:id="rId10"/>
    <sheet name="Fórmulas" sheetId="11" r:id="rId11"/>
    <sheet name="Gráficos" sheetId="12" r:id="rId12"/>
  </sheets>
  <definedNames>
    <definedName name="_xlnm.Print_Titles" localSheetId="4">'AçõesColetivas'!$3:$5</definedName>
  </definedNames>
  <calcPr fullCalcOnLoad="1"/>
</workbook>
</file>

<file path=xl/sharedStrings.xml><?xml version="1.0" encoding="utf-8"?>
<sst xmlns="http://schemas.openxmlformats.org/spreadsheetml/2006/main" count="905" uniqueCount="443">
  <si>
    <t>número de pessoas que participaram de ação coletiva de ESCOVAÇÃO SUPERVISIONADA</t>
  </si>
  <si>
    <t>número total estimado de pessoas para participar de ação coletiva de ESCOVAÇÃO SUPERVISIONADA</t>
  </si>
  <si>
    <t>número de AVALIAÇÕES DE RISCO em Saúde Bucal realizadas</t>
  </si>
  <si>
    <t>número total de AVALIAÇÕES DE RISCO em Saúde Bucal planejadas</t>
  </si>
  <si>
    <t>usuários</t>
  </si>
  <si>
    <t>avaliações de risco</t>
  </si>
  <si>
    <t>primeiras consultas</t>
  </si>
  <si>
    <t>NA</t>
  </si>
  <si>
    <t>número de PRIMEIRAS CONSULTAS Odontológicas Programáticas realizadas</t>
  </si>
  <si>
    <t>número total planejado de PRIMEIRAS CONSULTAS Odontológicas Programáticas</t>
  </si>
  <si>
    <t>número de PROCEDIMENTOS INDIVIDUAIS de saúde bucal da atenção primária realizados</t>
  </si>
  <si>
    <t>número total de PROCEDIMENTOS INDIVIDUAIS de saúde bucal da atenção primária planejados</t>
  </si>
  <si>
    <t xml:space="preserve">porcentagem de PROCEDIMENTOS INDIVIDUAIS de saúde bucal da atenção primária </t>
  </si>
  <si>
    <t>porcentagem de PROCEDIMENTOS INDIVIDUAIS de saúde bucal da atenção primária</t>
  </si>
  <si>
    <t>Ação Esc. Sup</t>
  </si>
  <si>
    <t>Distr. Escov. Fl</t>
  </si>
  <si>
    <t>Avaliaç de risco</t>
  </si>
  <si>
    <t>Primeira Cons.</t>
  </si>
  <si>
    <t>Procedim. Indiv.</t>
  </si>
  <si>
    <t>porcentagem de usuários que participaram de ação coletiva de ESCOVAÇÃO SUPERVISIONADA</t>
  </si>
  <si>
    <t xml:space="preserve">GRÁFICOS </t>
  </si>
  <si>
    <t>procedimentos</t>
  </si>
  <si>
    <t xml:space="preserve">
100% dos usuários cadastrados recebem tratamento individual, conforme parâmetros anteriores.</t>
  </si>
  <si>
    <t>adolescentes
15 - 19  anos c/ necessidade de outras prótese</t>
  </si>
  <si>
    <t>adolescentes
15 - 19  anos c/ necessidade de prótese total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</si>
  <si>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PROCEDIMENTOS</t>
    </r>
  </si>
  <si>
    <r>
      <t>N</t>
    </r>
    <r>
      <rPr>
        <vertAlign val="superscript"/>
        <sz val="11"/>
        <rFont val="Verdana"/>
        <family val="2"/>
      </rPr>
      <t>o</t>
    </r>
  </si>
  <si>
    <t>NÚMERO DE ATENDIMENTO POTENCIAL</t>
  </si>
  <si>
    <t>CONSOLIDADO - EQUIPE SEM THD</t>
  </si>
  <si>
    <t>Avaliação classificação de risco - CD</t>
  </si>
  <si>
    <t>AÇÃO COLETIVA ESC. SUP. e EDUCATIVA - 
CD</t>
  </si>
  <si>
    <t>AÇÃO COLETIVA ESC. SUP. e EDUCATIVA - 
THD</t>
  </si>
  <si>
    <t>PRIMEIRA CONSULTA - 
CD</t>
  </si>
  <si>
    <t>usuários
6 - 14 anos</t>
  </si>
  <si>
    <t>AVALIAÇÃO  DE RISCO</t>
  </si>
  <si>
    <t>PRIMEIRA CONSULTA</t>
  </si>
  <si>
    <r>
      <t xml:space="preserve">
100% dos usuários cadastrados participam de escovação supervisionada, sendo:
Grupos:
- 35 participantes;
- duração: 1 hora.
Frequência:
- crianças, gestantes, diabéticos e usuários c/ necessidades especiais: 4 x/ano;
- adolescentes, adultos e idosos: 2 x/ano;
- usuários com atividade cárie e/ou doença periodontal: 4 x além das realizadas preventivamente.
</t>
    </r>
    <r>
      <rPr>
        <u val="single"/>
        <sz val="10"/>
        <rFont val="Verdana"/>
        <family val="2"/>
      </rPr>
      <t>Obs:</t>
    </r>
    <r>
      <rPr>
        <sz val="10"/>
        <rFont val="Verdana"/>
        <family val="2"/>
      </rPr>
      <t xml:space="preserve">
1. Foram subtraídas várias superposições de atendimento: ver memória de cálculo no tutorial.
2. Para os usuários com atividade cárie e/ou doença periodontal será calculado o número total de usuários com cárie, independente se com atividade de cárie ou não. Este número, provavelmente inclui a maioria dos usuários com doença periodontal.</t>
    </r>
  </si>
  <si>
    <r>
      <t xml:space="preserve">
Atividades educativas para os grupos já existentes
Grupos:
     - 20 participantes;
     - duração: 1 hora.
Frequência:
     - 2 x/ano</t>
    </r>
  </si>
  <si>
    <t xml:space="preserve">
Realizar atividades educativas para todos os Grupos Educativos em funcionamento.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</si>
  <si>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Grupos Educativos para crianças com e sem risco realizados na UBS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</si>
  <si>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Grupos Educativos para adolescentes com e sem risco realizados na UBS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</si>
  <si>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Grupos Educativos para adultos com e sem risco realizados na UBS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</si>
  <si>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Grupos Educativos para gestantes com e sem risco realizados na UBS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</si>
  <si>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Grupos Educativos para idosos com e sem risco realizados na UBS</t>
    </r>
  </si>
  <si>
    <t xml:space="preserve">
Realizar escovação com flúor gel durante a escovação supervisionada para todos os usuários que fizerem escovação supervisionada.
</t>
  </si>
  <si>
    <t xml:space="preserve">
100% das famílias são abordadas em visita domiciliar sobre o acesso individual à escova e dentifrício.
Será realizada 1x/ano a verificação do acesso, com atualização do cadastro familiar.</t>
  </si>
  <si>
    <t xml:space="preserve">
Realizar visitas domiciliares para todas as famílias para verificação do acesso à escova e dentifrício fluoretado.</t>
  </si>
  <si>
    <t xml:space="preserve">
Realizar entrega de escova de dentes e dentifrício fluoretado aos usuários priorizados pela equipe de saúde.</t>
  </si>
  <si>
    <t xml:space="preserve">
100% dos usuários priorizados recebem escova e dentifrício, sendo:
Entrega: 4x/ano/usuário.
Deverão ser priorizadas as famílias de risco, optando por um dos grupos abaixo: </t>
  </si>
  <si>
    <t>1. Famílias de alto risco</t>
  </si>
  <si>
    <t>2. Famílias de alto + médio risco</t>
  </si>
  <si>
    <t>3. Famílias de alto + médio + baixo risco</t>
  </si>
  <si>
    <t>% de famílias cadastradas</t>
  </si>
  <si>
    <t xml:space="preserve">
Lançar na coluna "% da Meta Programada" ao lado o valor correspondente ao grupo de famílias priorizadas.
Caso não tenha sido realizada a classificação de risco das famílias, deverá ser usado o critério do IBGE: 30% de famílias de risco.</t>
  </si>
  <si>
    <t>1 ano</t>
  </si>
  <si>
    <t>escovas e dentifricios entregues</t>
  </si>
  <si>
    <t xml:space="preserve">
Realizar avaliação individual para classificação por grau de risco (R1, R2 e R3) para todos os usuários dos grupos prioritários.</t>
  </si>
  <si>
    <t xml:space="preserve">
Realizar primeira consulta odontológica para todos os usuários avaliados para classificação de risco e identificados como de risco R1. Em um segundo momento, após a primeira consulta de todos os usuários R1 de toda a população, será programada a primeira consulta para os usuários R2 e R3, nesta ordem.</t>
  </si>
  <si>
    <t>primeira consulta</t>
  </si>
  <si>
    <t>aval. de risco</t>
  </si>
  <si>
    <t xml:space="preserve">
100% dos usuários cadastrados fazem avaliação de risco, sendo:
- avaliação individual;
- duração: 15 minutos;
- frequência: 1x/ano.
Serão priorizados os usuários integrantes de famílias de alto risco, médio risco, baixo risco e sem risco, nesta ordem e as gestantes, diabéticos, usuários com necessidades especiais e outras prioridades definidas localmente.</t>
  </si>
  <si>
    <r>
      <t xml:space="preserve">
100% dos usuários cadastrados que fizeram avaliação de risco fazem primeira consulta odontológica, sendo:
- atendimento individual;
- duração: 40 minutos;
- frequência: 1x/ano.
Serão priorizadas os usuários com risco R1, R2 e R3 nesta ordem.
</t>
    </r>
    <r>
      <rPr>
        <u val="single"/>
        <sz val="10"/>
        <rFont val="Verdana"/>
        <family val="2"/>
      </rPr>
      <t xml:space="preserve">Obs:
</t>
    </r>
    <r>
      <rPr>
        <sz val="10"/>
        <rFont val="Verdana"/>
        <family val="2"/>
      </rPr>
      <t>1. Para efeito de cálculo desta planilha, será considerado o número de usuários com ceo e/ou CPOD ≥ 1, já que não existem parâmetros para cálculo do número de usuários do grupo R1, R2 e R3.</t>
    </r>
  </si>
  <si>
    <t>crianças
0 - 9 anos c/ bolsa ≥ 4 mm</t>
  </si>
  <si>
    <t>CRIANÇAS</t>
  </si>
  <si>
    <t>ADULTOS</t>
  </si>
  <si>
    <t>IDOSOS</t>
  </si>
  <si>
    <t>GESTANTES</t>
  </si>
  <si>
    <t>DIABÉTICOS</t>
  </si>
  <si>
    <t>USUÁRIOS COM NECESSIDADES ESPECIAIS</t>
  </si>
  <si>
    <t xml:space="preserve">
Realizar tratamento para todos os usuários com priorização: risco R1 - doença periodontal ativa (sangramento, secreção), cárie ativa, lesão de mucosa ou necessidade de prótese -, risco R2 e risco R3.</t>
  </si>
  <si>
    <t>ADOLESCENTES 10 a 14 ANOS</t>
  </si>
  <si>
    <t>ADOLESCENTES 15 a 19 ANOS</t>
  </si>
  <si>
    <t>CD:
- tratamento lesão cavitada
- procedimento p/ bolsa
- procedimento p/ prótese
THD
- aplicação tópica de flúor individual
- procedimento p/ sangramento
- procedimento p/ cálculo
Na ausência do THD, o CD é responsável
por todos os  procedimentos.</t>
  </si>
  <si>
    <t>TRATAMENTO PRÓTESE TOTAL-
CD</t>
  </si>
  <si>
    <t>TRATAMENTO OUTRAS PRÓTESES -
CD</t>
  </si>
  <si>
    <t>Avaliação e classificação de risco - CD</t>
  </si>
  <si>
    <t>Primeira consulta - CD</t>
  </si>
  <si>
    <t>Procedimento individual - CD</t>
  </si>
  <si>
    <t>Procedimento individual - THD</t>
  </si>
  <si>
    <t>Ação coletiva Educação em saúde - THD</t>
  </si>
  <si>
    <t>Ação coletiva Educação em saúde - CD</t>
  </si>
  <si>
    <t>ações educativas</t>
  </si>
  <si>
    <t>ações de escovação</t>
  </si>
  <si>
    <t>AÇÕES COLETIVAS</t>
  </si>
  <si>
    <t>TRATAMENTO</t>
  </si>
  <si>
    <t>ENTREGA DE ESCOVA DE DENTES E DENTIFRÍCIO</t>
  </si>
  <si>
    <t>procedimento CD</t>
  </si>
  <si>
    <t>procedimento THD</t>
  </si>
  <si>
    <t>TOTAL DE PROCEDIMENTOS</t>
  </si>
  <si>
    <t>proced.</t>
  </si>
  <si>
    <t>famílias</t>
  </si>
  <si>
    <t>Ação coletiva - CD</t>
  </si>
  <si>
    <t>Ação coletiva - THD</t>
  </si>
  <si>
    <t>Se a equipe é completa: THD
Na ausência de THD: CD</t>
  </si>
  <si>
    <t>AVALIAÇÃO DE RISCO - 
CD</t>
  </si>
  <si>
    <t>APLICAÇÃO TÓPICA DE FLÚOR INDIVIDUTAL -
THD</t>
  </si>
  <si>
    <t>TRATAMENTO LESÃO  CAVITADA -
CD</t>
  </si>
  <si>
    <t>TRATAMENTO CÁLCULO - 
THD</t>
  </si>
  <si>
    <t>TRATAMENTO SANGRAMENTO - 
THD</t>
  </si>
  <si>
    <t>ADOLESCENTE
10 a 14 anos</t>
  </si>
  <si>
    <t>CRIANÇA
1 a 5 anos</t>
  </si>
  <si>
    <t>CRIANÇA
0 a 9 anos</t>
  </si>
  <si>
    <t>ADOLESCENTE
15 a 19 anos</t>
  </si>
  <si>
    <t>ADULTO</t>
  </si>
  <si>
    <t>GESTANTE</t>
  </si>
  <si>
    <t>DIABÉTICO</t>
  </si>
  <si>
    <t>USUÁRIO COM NECESSIDADE ESPECIAL</t>
  </si>
  <si>
    <t>gestantes</t>
  </si>
  <si>
    <t>porcentagem de adolescentes de 10 a 14 anos com CPOD ≥ 1</t>
  </si>
  <si>
    <t>porcentagem de adolescentes livres de cárie</t>
  </si>
  <si>
    <t>porcentagem de adolescentes de 15 a 19 anos com CPOD ≥ 1</t>
  </si>
  <si>
    <t>porcentagem de adultos livres de cárie</t>
  </si>
  <si>
    <t>porcentagem de idosos livres de cárie</t>
  </si>
  <si>
    <t>porcentagem de crianças livres de cárie ceo = 0</t>
  </si>
  <si>
    <t>porcentagem de idosos com CPOD ≥ 1</t>
  </si>
  <si>
    <t>porcentagem de adultos com CPOD ≥ 1</t>
  </si>
  <si>
    <t>POP. ALVO ATENDIDA</t>
  </si>
  <si>
    <t>ATIVIDADE</t>
  </si>
  <si>
    <t>RESPONSÁVEL</t>
  </si>
  <si>
    <t>ACS</t>
  </si>
  <si>
    <t>DESCRIÇÃO</t>
  </si>
  <si>
    <t>visitas domiciliares</t>
  </si>
  <si>
    <t>PRAZO</t>
  </si>
  <si>
    <t>ATIVIDADES</t>
  </si>
  <si>
    <t>META PROGRAMADA</t>
  </si>
  <si>
    <t>CATEGORIA PROFISSIONAL</t>
  </si>
  <si>
    <t>PROFISSIONAIS</t>
  </si>
  <si>
    <t>ANO</t>
  </si>
  <si>
    <t>MÊS</t>
  </si>
  <si>
    <t>SEMANA</t>
  </si>
  <si>
    <t>DIA</t>
  </si>
  <si>
    <t>IDOSO</t>
  </si>
  <si>
    <t>CORRESPONDÊNCIA</t>
  </si>
  <si>
    <t>CD e THD</t>
  </si>
  <si>
    <t>CD</t>
  </si>
  <si>
    <t>crianças
0 - 9 anos</t>
  </si>
  <si>
    <t>adolescentes
10 - 14 anos</t>
  </si>
  <si>
    <t>adolescentes
15 - 19 anos</t>
  </si>
  <si>
    <t>adultos</t>
  </si>
  <si>
    <t>usuários c/ nec. esp.</t>
  </si>
  <si>
    <t>usuários c/ ativ. cárie e/ou doença periodontal</t>
  </si>
  <si>
    <t>THD</t>
  </si>
  <si>
    <t>aplicações tópicas de flúor gel</t>
  </si>
  <si>
    <t>crianças
0 - 9 anos c/ sangramento</t>
  </si>
  <si>
    <t>crianças
0 - 9 anos c/ cálculo</t>
  </si>
  <si>
    <t>crianças
1 - 9 anos</t>
  </si>
  <si>
    <t>crianças
0 - 9 anos c/ necessidade de prótese</t>
  </si>
  <si>
    <t>crianças
1 - 4 anos c/ atividade cárie</t>
  </si>
  <si>
    <t>adolescentes
10 - 14 anos c/ sangramento</t>
  </si>
  <si>
    <t>adolescentes
10 - 14 anos c/ cálculo</t>
  </si>
  <si>
    <t>adolescentes
10 - 14 anos c/ necessidade de prótese</t>
  </si>
  <si>
    <t>adolescentes
15 - 19 anos c/ sangramento</t>
  </si>
  <si>
    <t>adolescentes
15 - 19  anos c/ cálculo</t>
  </si>
  <si>
    <t>adultos c/ sangramento</t>
  </si>
  <si>
    <t>adultos c/ cálculo</t>
  </si>
  <si>
    <t>idosos c/ sangramento</t>
  </si>
  <si>
    <t>idosos c/ cálculo</t>
  </si>
  <si>
    <t>gestantes c/ sangramento</t>
  </si>
  <si>
    <t>gestantes c/ cálculo</t>
  </si>
  <si>
    <t>diabéticos c/ sangramento</t>
  </si>
  <si>
    <t>diabéticos c/ cálculo</t>
  </si>
  <si>
    <t>usuários c/ nec.esp. c/ sangramento</t>
  </si>
  <si>
    <t>usuários c/ nec.esp. c/ cálculo</t>
  </si>
  <si>
    <t>dentes c/ lesão cavitada em crianças
0 - 9 anos</t>
  </si>
  <si>
    <t>dentes c/ lesão cavitada em adolescentes
10 - 14 anos</t>
  </si>
  <si>
    <t>dentes c/ lesão cavitada em adolescentes
15 - 19 anos</t>
  </si>
  <si>
    <t>dentes c/ lesão cavitada em adultos</t>
  </si>
  <si>
    <t>dentes c/ lesão cavitada em idosos</t>
  </si>
  <si>
    <t>dentes c/ lesão cavitada em gestantes</t>
  </si>
  <si>
    <t>dentes c/ lesão cavitada em diabéticos</t>
  </si>
  <si>
    <t>dentes c/ lesão cavitada em usuários c/ nec.esp.</t>
  </si>
  <si>
    <t>Cirurgião Dentista - CD</t>
  </si>
  <si>
    <t>Técnico em Higiene Dental - THD</t>
  </si>
  <si>
    <t>Auxiliar de Consultório Dentário - ACD</t>
  </si>
  <si>
    <t>ACD</t>
  </si>
  <si>
    <t>TOTAL DE ATIVIDADES</t>
  </si>
  <si>
    <t>HORAS</t>
  </si>
  <si>
    <t>ATENÇÃO PROGRAMADA</t>
  </si>
  <si>
    <t>DEMANDA ESPONTÂNEA</t>
  </si>
  <si>
    <t>CONSOLIDADO DO ATENDIMENTO</t>
  </si>
  <si>
    <t>diabéticos</t>
  </si>
  <si>
    <t>TOTAL
(em horas)</t>
  </si>
  <si>
    <t>ATIVIDADES ADMINISTRATIVAS</t>
  </si>
  <si>
    <t>EDUCAÇÃO PERMANENTE</t>
  </si>
  <si>
    <t>ANÁLISE DO ATENDIMENTO</t>
  </si>
  <si>
    <t>ATENDIMENTO DIÁRIO</t>
  </si>
  <si>
    <t>ATENDIMENTO SEMANAL</t>
  </si>
  <si>
    <t>CAPACIDADE POTENCIAL TOTAL</t>
  </si>
  <si>
    <t>ATENDIMENTO PROGRAMADO</t>
  </si>
  <si>
    <t>ATENDIMENTO À DEMANDA ESPONTÂNEA</t>
  </si>
  <si>
    <t>FAIXA ETÁRIA - ANOS</t>
  </si>
  <si>
    <t>%</t>
  </si>
  <si>
    <t>&lt; 1 mês</t>
  </si>
  <si>
    <t>1 a 11 meses</t>
  </si>
  <si>
    <t>1 a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</si>
  <si>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</si>
  <si>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</si>
  <si>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</si>
  <si>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</si>
  <si>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</si>
  <si>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</si>
  <si>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</si>
  <si>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</si>
  <si>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</si>
  <si>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</si>
  <si>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</si>
  <si>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 xml:space="preserve">60 a 64 anos </t>
  </si>
  <si>
    <t>65 a 69 anos</t>
  </si>
  <si>
    <t>70 a 74 anos</t>
  </si>
  <si>
    <t>75 a 79 anos</t>
  </si>
  <si>
    <t>≥ 80 anos</t>
  </si>
  <si>
    <t>TOTAL</t>
  </si>
  <si>
    <t>PARÂMETRO</t>
  </si>
  <si>
    <t>POP. ALVO ESTIMADA</t>
  </si>
  <si>
    <t>SEM
RISCO</t>
  </si>
  <si>
    <t>RISCO
BAIXO</t>
  </si>
  <si>
    <t>RISCO
MÉDIO</t>
  </si>
  <si>
    <t>RISCO
ALTO</t>
  </si>
  <si>
    <t>Usuários com necessidades especiais</t>
  </si>
  <si>
    <t>idosos</t>
  </si>
  <si>
    <t>CARGA HORÁRIA DIÁRIA 
(em horas)</t>
  </si>
  <si>
    <t>ATIVIDADES PROGRAMADAS</t>
  </si>
  <si>
    <t>DURAÇAO
(em minutos)</t>
  </si>
  <si>
    <t>ATIVIDADES - DEMANDA PROGRAMADA - ANO</t>
  </si>
  <si>
    <t>TOTAL ANUAL</t>
  </si>
  <si>
    <t>ceo</t>
  </si>
  <si>
    <t>componente dentes cariados - porcentagem</t>
  </si>
  <si>
    <t>Crianças de 0 a 9 anos (parâmetros da idade de 5 anos do SB)</t>
  </si>
  <si>
    <t>Adolescentes de 10 a 14 anos (parâmetros da idade de 12 anos do SB)</t>
  </si>
  <si>
    <t>Adultos de 20 a 59 anos (parâmetros da faixa etária de 35 a 44 anos do SB)</t>
  </si>
  <si>
    <t>Adolescentes de 15 a 19 anos (parâmetros da faixa etária de 15 a 19 anos do SB)</t>
  </si>
  <si>
    <t>Idosos ≥ 60 anos (parâmetros da faixa etária de 65 a 74 anos do SB)</t>
  </si>
  <si>
    <t>porcentagem de crianças com ceo ≥ 1</t>
  </si>
  <si>
    <t>CPOD</t>
  </si>
  <si>
    <t>USUÁRIO COM ATIVIDADE CÁRIE / DOENÇA</t>
  </si>
  <si>
    <t>TRATAMENTO SANGRAMENTO - 
CD</t>
  </si>
  <si>
    <t>DURAÇÃO DO PROCEDIMENTO (em minutos)</t>
  </si>
  <si>
    <t>NÚMERO DE PROCEDIMENTOS POR HORA</t>
  </si>
  <si>
    <t>PADRONIZAÇÃO DO ATENDIMENTO (procedimentos)</t>
  </si>
  <si>
    <t>usuários c/ ativ. cárie</t>
  </si>
  <si>
    <t>componentes dentes cariados - valor médio</t>
  </si>
  <si>
    <t>THD ou CD</t>
  </si>
  <si>
    <t>1. GRUPOS DE EDUCAÇÃO EM SAÚDE</t>
  </si>
  <si>
    <t>CRIANÇA</t>
  </si>
  <si>
    <t>ADOLESCENTE</t>
  </si>
  <si>
    <t>adolescentes
10 - 14  anos c/ bolsa ≥ 4 mm</t>
  </si>
  <si>
    <t>adolescentes
15 - 19   anos c/ bolsa  ≥ 4 mm</t>
  </si>
  <si>
    <t>adultos c/ bolsa ≥ 4 mm</t>
  </si>
  <si>
    <t>idosos c/ bolsa ≥ 4 mm</t>
  </si>
  <si>
    <t>gestantes c/ bolsa ≥ 4 mm</t>
  </si>
  <si>
    <t>diabéticos c/ bolsa ≥ 4 mm</t>
  </si>
  <si>
    <t>usuários c/ nec.esp. c/ bolsa ≥ 4 mm</t>
  </si>
  <si>
    <t>adultos c/ necessidade de prótese total</t>
  </si>
  <si>
    <t>adultos c/ necessidade de outras próteses</t>
  </si>
  <si>
    <t>idosos c/ necessidade de prótese total</t>
  </si>
  <si>
    <t>idosos c/ necessidade de outras próteses</t>
  </si>
  <si>
    <t>gestantes c/ necessidade de prótese total</t>
  </si>
  <si>
    <t>gestantes c/ necessidade de outras próteses</t>
  </si>
  <si>
    <t>diabéticos c/ necessidade de prótese total</t>
  </si>
  <si>
    <t>diabéticos c/ necessidade de outras próteses</t>
  </si>
  <si>
    <t>usuários c/ nec.esp. c/ necessidade de prótese total</t>
  </si>
  <si>
    <t>usuários c/ nec.esp. c/ necessidade de outras próteses</t>
  </si>
  <si>
    <t>SECRETARIA DE ESTADO DE SAÚDE</t>
  </si>
  <si>
    <t>MUNICÍPIO:</t>
  </si>
  <si>
    <t>UBS:</t>
  </si>
  <si>
    <t>(CLIQUE EM UMA DAS CÉLULAS ABAIXO PARA NAVEGAR NA PLANILHA)</t>
  </si>
  <si>
    <t>TUTORIAL</t>
  </si>
  <si>
    <t>MENU</t>
  </si>
  <si>
    <t>1.</t>
  </si>
  <si>
    <t>Cadastro e classificação familiar</t>
  </si>
  <si>
    <t>6.</t>
  </si>
  <si>
    <t>2.</t>
  </si>
  <si>
    <t>Situação de Saúde</t>
  </si>
  <si>
    <t>7.</t>
  </si>
  <si>
    <t>3.</t>
  </si>
  <si>
    <t>8.</t>
  </si>
  <si>
    <t>4.</t>
  </si>
  <si>
    <t>5.</t>
  </si>
  <si>
    <t>Monitoramento</t>
  </si>
  <si>
    <r>
      <t xml:space="preserve">PLANILHA DE PROGRAMAÇÃO
</t>
    </r>
    <r>
      <rPr>
        <b/>
        <sz val="12"/>
        <rFont val="Verdana"/>
        <family val="2"/>
      </rPr>
      <t>EQUIPE SAÚDE BUCAL</t>
    </r>
  </si>
  <si>
    <t>Programação Ações Coletivas</t>
  </si>
  <si>
    <t>Programação Tratamento</t>
  </si>
  <si>
    <t>2. GRUPOS PRIORITÁRIOS</t>
  </si>
  <si>
    <t>3. DOENÇA PERIODONTAL
(para sangramento, cálculo e bolsa periodontal, considerar o índice CPI/SB-Brasil)</t>
  </si>
  <si>
    <t>4. CÁRIE</t>
  </si>
  <si>
    <t>5. NECESSIDADE DE PRÓTESE</t>
  </si>
  <si>
    <t>6. ALTERAÇÕES DE TECIDO MOLE</t>
  </si>
  <si>
    <t>8% da população adulta e idosa</t>
  </si>
  <si>
    <t>Diabéticos</t>
  </si>
  <si>
    <t>Gestantes</t>
  </si>
  <si>
    <t>CADASTRO FAMILIAR</t>
  </si>
  <si>
    <t>Sub-total crianças</t>
  </si>
  <si>
    <t>Sub-total adolescentes</t>
  </si>
  <si>
    <t>Sub-total adultos</t>
  </si>
  <si>
    <t>Sub-total idosos</t>
  </si>
  <si>
    <t>CLASSIFICAÇÃO FAMILIAR</t>
  </si>
  <si>
    <t>CLASSIFICAÇÃO SEGUNDO O RISCO SOCIAL (IBGE)</t>
  </si>
  <si>
    <t>Número de
famílias cadastradas</t>
  </si>
  <si>
    <t>Número de
indivíduos cadastrados</t>
  </si>
  <si>
    <t>Densidade 
familiar média</t>
  </si>
  <si>
    <t>CLASSIFICAÇÃO SEGUNDO O RISCO SOCIAL E CLÍNICO (SES/MG)</t>
  </si>
  <si>
    <t>ESCOVAÇÃO SUPERVISIONADA</t>
  </si>
  <si>
    <t>ATIVIDADES EDUCATIVAS</t>
  </si>
  <si>
    <t>ESCOVAÇÃO COM FLÚOR GEL</t>
  </si>
  <si>
    <t>VISITA DOMICILIAR</t>
  </si>
  <si>
    <t>NUMERO DE PROFISSONAIS POR EQUIPE</t>
  </si>
  <si>
    <t>TRATAMENTO BOLSA ≥ 4 mm - 
CD</t>
  </si>
  <si>
    <t>CONSOLIDADO - EQUIPE COM THD</t>
  </si>
  <si>
    <t>Consolidado / Agenda Semanal - com THD</t>
  </si>
  <si>
    <t>Consolidado / Agenda Semanal - sem THD</t>
  </si>
  <si>
    <t>ADOLES-
CENTE</t>
  </si>
  <si>
    <t>FEMININO</t>
  </si>
  <si>
    <t>MASCULINO</t>
  </si>
  <si>
    <t>RISCO (30%)</t>
  </si>
  <si>
    <t>NÃO RISCO (70%)</t>
  </si>
  <si>
    <t>COBERTURA DE ATENDIMENTO</t>
  </si>
  <si>
    <t>PÚBLICO / AÇÃO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</si>
  <si>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total de gestantes do ano anterior (número de DNV) + 10%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</si>
  <si>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usuários com necessidades especiais (2,5% da população tem deficiência grave) participando de escovação supervisionada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</si>
  <si>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crianças com sangramento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</si>
  <si>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crianças com cálculo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</si>
  <si>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crianças com bolsa ≥ 4 mm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</si>
  <si>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10 a 14 anos com sangramento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</si>
  <si>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10 a 14 anos com cálculo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</si>
  <si>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10 a 14 anos com bolsa ≥ 4 mm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</si>
  <si>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15 a 19 anos com sangramento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</si>
  <si>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15 a 19 anos com cálculo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</si>
  <si>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15 a 19 anos com bolsa ≥ 4 mm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</si>
  <si>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adultos com sangramento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</si>
  <si>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adultos com cálculo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</si>
  <si>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adultos com bolsa ≥ 4 mm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</si>
  <si>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idosos com sangramento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</si>
  <si>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idosos com cálculo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</si>
  <si>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idosos com bolsa ≥ 4 mm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</si>
  <si>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dentes cariados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</si>
  <si>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crianças com necessidade de prótese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</si>
  <si>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10 a 14 anos com necessidade de prótese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</si>
  <si>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15 a 19 anos com necessidade de prótese total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</si>
  <si>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15 a 19 anos com necessidade de outras próteses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</si>
  <si>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adultos com necessidade de prótese total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</si>
  <si>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adultos com necessidade de outras próteses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</si>
  <si>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idosos com necessidade de prótese total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</si>
  <si>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idosos com necessidade de outras próteses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</si>
  <si>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crianças com alterações de tecido mole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</si>
  <si>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10 a 14 anos com alterações de tecido mole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</si>
  <si>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adolescentes 15 a 19 anos com alterações de tecido mole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</si>
  <si>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adultos com alterações de tecido mole</t>
    </r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</si>
  <si>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de idosos com alterações de tecido mole</t>
    </r>
  </si>
  <si>
    <r>
      <t>SITUAÇÃO DE SAÚDE</t>
    </r>
    <r>
      <rPr>
        <b/>
        <sz val="11"/>
        <rFont val="Verdana"/>
        <family val="2"/>
      </rPr>
      <t xml:space="preserve">
</t>
    </r>
    <r>
      <rPr>
        <b/>
        <sz val="14"/>
        <rFont val="Verdana"/>
        <family val="2"/>
      </rPr>
      <t>DADOS EPIDEMIOLÓGICOS E ASSISTENCIAIS</t>
    </r>
  </si>
  <si>
    <t>-</t>
  </si>
  <si>
    <t>USUÁRIOS / EVENTOS</t>
  </si>
  <si>
    <t xml:space="preserve">
Realizar escovação supervisionada para todos os usuários cadastrados.</t>
  </si>
  <si>
    <t>ATENDIMENTO INDIVIDUAL</t>
  </si>
  <si>
    <t>Programação Avaliação Risco e 1a Consulta</t>
  </si>
  <si>
    <t>Escovação Supervisionada</t>
  </si>
  <si>
    <t>Primeira Consulta</t>
  </si>
  <si>
    <t>Para o cálculo da capacidade potencial de atendimento anual, consideram-se 11 meses de trabalho, deixando 1 mês para férias.</t>
  </si>
  <si>
    <t>Planilha: Situação de Saúde</t>
  </si>
  <si>
    <t>Planilha: Cadastro</t>
  </si>
  <si>
    <t>Planilha: Ações Coletivas</t>
  </si>
  <si>
    <r>
      <t>Gestantes</t>
    </r>
    <r>
      <rPr>
        <sz val="10"/>
        <rFont val="Arial"/>
        <family val="0"/>
      </rPr>
      <t>: Memória de cálculo: número total de gestantes - gestantes com necessidades especiais (2,5%).</t>
    </r>
  </si>
  <si>
    <r>
      <t>Diabéticos</t>
    </r>
    <r>
      <rPr>
        <sz val="10"/>
        <rFont val="Arial"/>
        <family val="0"/>
      </rPr>
      <t>: Memória de cálculo: número total de diabéticos - diabéticos com necessidades especiais (2,5%).</t>
    </r>
  </si>
  <si>
    <r>
      <t>Usuários c/ ativ. cárie e/ou doença periodontal</t>
    </r>
    <r>
      <rPr>
        <sz val="10"/>
        <rFont val="Arial"/>
        <family val="0"/>
      </rPr>
      <t>: Memória de cálculo: Não existem parâmetros para cálculo do número de usuários com atividade cárie. Portanto, aqui é considerado o número total de crianças, adolescentes, adultos e idosos com cárie. Este número inclui a maioria dos usuários em tratamento de doença periodontal.</t>
    </r>
  </si>
  <si>
    <r>
      <t>Criança</t>
    </r>
    <r>
      <rPr>
        <sz val="10"/>
        <rFont val="Arial"/>
        <family val="2"/>
      </rPr>
      <t>: Memória de cálculo: número total de crianças da fx etaria de 1 a 9 anos - crianças com necessidades especiais (2,5%).</t>
    </r>
  </si>
  <si>
    <r>
      <t>Gestante</t>
    </r>
    <r>
      <rPr>
        <sz val="10"/>
        <rFont val="Arial"/>
        <family val="2"/>
      </rPr>
      <t>:Memória de cálculo: número total de gestantes - gestantes com necessidades especiais (2,5%).</t>
    </r>
  </si>
  <si>
    <r>
      <t>Diabéticos</t>
    </r>
    <r>
      <rPr>
        <sz val="10"/>
        <rFont val="Arial"/>
        <family val="2"/>
      </rPr>
      <t>: Memória de cálculo: número total de diabéticos - diabéticos com necessidades especiais (2,5%).</t>
    </r>
  </si>
  <si>
    <r>
      <t>Idosos</t>
    </r>
    <r>
      <rPr>
        <sz val="10"/>
        <rFont val="Arial"/>
        <family val="2"/>
      </rPr>
      <t>: Memória de cálculo: número total de idosos - idosos com diabetes (8%) - idosos  com necessidades especiais (2,5%).</t>
    </r>
  </si>
  <si>
    <r>
      <t>Adulto</t>
    </r>
    <r>
      <rPr>
        <sz val="10"/>
        <rFont val="Arial"/>
        <family val="2"/>
      </rPr>
      <t>: Memória de cálculo: número total de adultos - adultos com diabetes (8%) - adultos  com necessidades especiais (2,5%) - gestantes  (78,28% do total de gestantes).</t>
    </r>
  </si>
  <si>
    <r>
      <t>Adolescentes 10-14 anos</t>
    </r>
    <r>
      <rPr>
        <sz val="10"/>
        <rFont val="Arial"/>
        <family val="0"/>
      </rPr>
      <t>: Memória de cálculo: número total de adolescentes de 10 a 14 anos - adolescentes com necessidades especiais (2,5%).</t>
    </r>
  </si>
  <si>
    <r>
      <t>Adolescentes 15-19 anos</t>
    </r>
    <r>
      <rPr>
        <sz val="10"/>
        <rFont val="Arial"/>
        <family val="0"/>
      </rPr>
      <t>: Memória de cálculo: número total de adolescentes de 15 a 19 anos - adolescentes com necessidades especiais (2,5%) - gestantes adolescentes (21,72% do total de gestantes).</t>
    </r>
  </si>
  <si>
    <r>
      <t>Adolescentes 10-14 anos</t>
    </r>
    <r>
      <rPr>
        <sz val="10"/>
        <rFont val="Arial"/>
        <family val="2"/>
      </rPr>
      <t>: Memória de cálculo: número total de adolescentes de 10 a 14 anos - adolescentes com necessidades especiais (2,5%).</t>
    </r>
  </si>
  <si>
    <r>
      <t>Adolescentes 15-19 anos</t>
    </r>
    <r>
      <rPr>
        <sz val="10"/>
        <rFont val="Arial"/>
        <family val="2"/>
      </rPr>
      <t>: Memória de cálculo: número total de adolescentes de 15 a 19 anos - adolescentes com necessidades especiais (2,5%) - gestantes adolescentes (21,72% do total de gestantes).</t>
    </r>
  </si>
  <si>
    <t>Planilha: Avaliação de Risco e Primeira Consulta</t>
  </si>
  <si>
    <r>
      <t>Crianças</t>
    </r>
    <r>
      <rPr>
        <sz val="10"/>
        <rFont val="Arial"/>
        <family val="0"/>
      </rPr>
      <t>: Memória de cálculo: número total de crianças da fx etaria de 1 a 9 anos - crianças com necessidades especiais (2,5%).</t>
    </r>
  </si>
  <si>
    <r>
      <t>Adultos</t>
    </r>
    <r>
      <rPr>
        <sz val="10"/>
        <rFont val="Arial"/>
        <family val="0"/>
      </rPr>
      <t>: Memória de cálculo: número total de adultos - adultos com diabetes (8%) - adultos  com necessidades especiais (2,5%) - gestantes  (78,28% do total de gestantes).</t>
    </r>
  </si>
  <si>
    <r>
      <t>Idosos</t>
    </r>
    <r>
      <rPr>
        <sz val="10"/>
        <rFont val="Arial"/>
        <family val="0"/>
      </rPr>
      <t>: Memória de cálculo: número total de idosos - idosos com diabetes (8%) - idosos  com necessidades especiais (2,5%).</t>
    </r>
  </si>
  <si>
    <t>Planilha: Tratamento</t>
  </si>
  <si>
    <t>Planilhas: Consolidado com THD e Consolidado sem THD</t>
  </si>
  <si>
    <t xml:space="preserve"> Algumas células foram bloqueadas por se tratarem de fórmulas já fixadas para cálculo de incidência ou prevalência e de programação.</t>
  </si>
  <si>
    <r>
      <t xml:space="preserve"> As células de fundo </t>
    </r>
    <r>
      <rPr>
        <b/>
        <sz val="10"/>
        <rFont val="Arial"/>
        <family val="2"/>
      </rPr>
      <t>lilás</t>
    </r>
    <r>
      <rPr>
        <sz val="10"/>
        <rFont val="Arial"/>
        <family val="0"/>
      </rPr>
      <t xml:space="preserve"> são aquelas não bloqueadas, devendo ser preenchidas com os dados de diagnóstico e programação.</t>
    </r>
  </si>
  <si>
    <t>Alguns cálculos não poderão ser realizados pela ausência de informação. Portanto a célula aparecerá vazia ou com os dizeres "#DIV/0!".</t>
  </si>
  <si>
    <t>A planilha está configurada para arrendondar os valores. Por isso, em algumas situações (como a programação da Hanseníase) o número de usuários pode ser "0" enquando o número de atividades correspondentes é igual a "1".</t>
  </si>
  <si>
    <t>Em relação aos parâmetros e/ou dados epidemiológicos sugeridos nas planilhas, poderão ser utilizadas informações locais caso estas estejam disponíveis.</t>
  </si>
  <si>
    <t>Registrar o número de pessoas cadastradas, por sexo e por faixa etária.</t>
  </si>
  <si>
    <t>O número total de pessoas por faixa etária e a porcentagem da população total, assim como o número de usuários por sexo e o número total de usuários  serão calculados automaticamente.</t>
  </si>
  <si>
    <t>Para o quadro "Famílias - Classificação segundo o risco social (IBGE)", registrar o número total de famílias da área de responsabilidade cadastradas; os outros dados serão calculados automaticamente.</t>
  </si>
  <si>
    <t>Para o quadro "Famílias - Classificação segundo o risco social e clínico (SES/MG)", registrar o número de famílias e o número de pessoas correspondentes por grau de risco; o cálculo do total de famílias por grau de risco e da densidade domiciliar serão feitos automaticamente.</t>
  </si>
  <si>
    <t>Esta planilha contém os dados relativos às patologias ou condições prioritárias, com os parâmetros para incidência/ prevalência ou para as principais ações de saúde, por ciclo de vida.</t>
  </si>
  <si>
    <t>O cálculo da população alvo estimada será feito automaticamente.</t>
  </si>
  <si>
    <t>Registrar o número de usuários da população alvo atendida assim como o número de procedimentos das principais ações de saúde realizadas.</t>
  </si>
  <si>
    <t>Fazer a análise comparativa entre a população alvo estimada e aquela atendida.</t>
  </si>
  <si>
    <t>Obs para atividade ESCOVAÇÃO COM FLÚOR GEL:
1. Para efeito de cálculo, nesta planilha será considerada, para as crianças, a faixa etária &gt; 5 anos, porque é a que consta no cadastro; e, para adolescentes e adultos, o número de usuários com CPOD &gt; 1, já que não existem parâmetros para cálculo dos pacientes com atividade cárie.
2. As crianças &lt; 5 anos devem fazer a aplicação em atendimento individual.
3. Este cálculo não será considerado no consolidado de atividades porque a ação já está incluida na ação coletiva de escovação supervisionada; no entanto é importante para a quantificação da AC e para cálculo do material de consumo necessário.</t>
  </si>
  <si>
    <t>A planilha apresenta os principais resultados a serem alcançados na saúde da criança, adolescente, adulto, gestante e idoso, assim como as atividades mínimas que devem ser realizadas para o alcance dos resultados e os parâmetros para realização destas atividades.</t>
  </si>
  <si>
    <t>A "META PROGRAMADA" corresponde à cobertura da população alvo que se pretende atingir no prazo estabelecido. Este valor numérico deve ser definido pela equipe, sendo no mínimo igual à cobertura já realizada, e lançado neste campo específico (%). O cálculo do novo número de usuários beneficiados e das atividades a serem realizadas é feito automaticamente.</t>
  </si>
  <si>
    <t>No campo "PADRONIZAÇÃO DO ATENDIMENTO" a equipe deve definir a duração do atendimento padrão (que corresponde a uma consulta médica ou de enfermagem, procedimento técnico de enfermagem e visita domiciliar) a ser realizado por profissional (a planilha calculará o número de atendimentos por hora) e a sua carga horária diária.</t>
  </si>
  <si>
    <t>A planilha também calculará o número total de atendimentos por dia, semana, mês e ano.</t>
  </si>
  <si>
    <t xml:space="preserve"> A partir definição da duração em minutos das atividades programadas, será calculado o número correspondente de atendimentos padrão, permitindo o cálculo do consolidado.</t>
  </si>
  <si>
    <t>No campo "CONSOLIDADO DO ATENDIMENTO" serão transferidos os dados do quantitativo de atividades programadas por profissional e por ciclo de vida, condição ou patologia, chegando-se a um total de atendimentos por profissional, por ano, mês, semana e dia.</t>
  </si>
  <si>
    <t>A partir disso pode-se fazer a análise comparativa do atendimento diário programado com o atendimento à demanda espontânea, em número de atendimentos e horas ocupadas.</t>
  </si>
  <si>
    <t>Para a análise do "ATENDIMENTO SEMANAL" deve ser definido o número de horas destinas à educação permanente e atividades administrativas. A planilha calculará, então, o tempo (número de horas e porcentual correspondente) destinado ao atendimento programado, atendimento à demanda espontânea, educação permanente e atividades adiministrativas.</t>
  </si>
  <si>
    <t>e-mail para esclarecimento de dúvidas: gnas@saude.mg.gov.br</t>
  </si>
  <si>
    <t>Em todas as planilhas a barra de fórmulas permanecerá oculta: se considerar necessária a exibição clicar em Exibir - Barra de fórmulas</t>
  </si>
  <si>
    <t>Os cabeçalhos estão congelado para facilitar a visualização</t>
  </si>
  <si>
    <t>APLICAÇÃO TÓPICA DE FLÚOR INDIVIDUAL -
CD</t>
  </si>
  <si>
    <t>Grupos de crianças</t>
  </si>
  <si>
    <t>Grupos de adolescentes</t>
  </si>
  <si>
    <t>Grupos de adultos</t>
  </si>
  <si>
    <t>Grupos de gestantes</t>
  </si>
  <si>
    <t>Grupos de idosos</t>
  </si>
  <si>
    <r>
      <t xml:space="preserve">
Grupos:
- 35 participantes;
- duração: deverá ser feita durante a escovação supervisionada.
Critérios para realização:
- quando uma das seguintes situações </t>
    </r>
    <r>
      <rPr>
        <u val="single"/>
        <sz val="11"/>
        <rFont val="Verdana"/>
        <family val="2"/>
      </rPr>
      <t>não</t>
    </r>
    <r>
      <rPr>
        <sz val="11"/>
        <rFont val="Verdana"/>
        <family val="2"/>
      </rPr>
      <t xml:space="preserve"> existirem: fluoretação da água da rede pública &gt; 5 anos; CPOD aos 12 anos &lt; 3; dentes livres de cáries aos 12 anos &lt; 30%;
- todos os usuários em tratamento com atividade cárie.
Público alvo:
- crianças acima de 6 anos e adolescentes até 14 anos participantes dos grupos de escovação supervisionada;
- adolescentes &gt; 15 anos e adultos com atividade de cárie.
Parâmetro para aplicação:
- 4 aplicações/ano</t>
    </r>
  </si>
  <si>
    <r>
      <t xml:space="preserve">
100% dos usuários cadastrados recebem tratamento individual, sendo: 
</t>
    </r>
    <r>
      <rPr>
        <sz val="10"/>
        <rFont val="Verdana"/>
        <family val="2"/>
      </rPr>
      <t xml:space="preserve">
- para o tratamento de lesão cavitada será considerado o número de dentes cariados;
- para o tratamento da doença periodontal ou por necessidade de prótese será considerado o número de usuários com a doença/condição;
- para as crianças de 1 a 5 anos com atividade cárie deve ser feita a aplicação tópica de flúor individualmente e não na escovação supervisionada, como é previsto para as demais faixas etárias a partir de 6 anos (para efeito de cálculo, foi considerado o número de crianças de 1 a 4 anos, faixa etária com dados disponíveis na planilha, e com cárie - ceo);
- os usuários com lesão de mucosa serão encaminhados na primeira consulta para o serviço de referência.</t>
    </r>
    <r>
      <rPr>
        <sz val="11"/>
        <rFont val="Verdana"/>
        <family val="2"/>
      </rPr>
      <t xml:space="preserve">
Parâmetro de procedimentos por doença/condição:
- atividade cárie (crianças 1 a 4 anos): 4 aplic.top.flúor/usuário
- lesão cavitada: 1 proced./dente cariado;
- doença periodontal - sangramento: 4 proced./usuário (1 proced./hemiarcada);
- doença periodontal - cálculo: 4 proced./usuário (1 proced./hemiarcada);
- doença periodontal - bolsa: 4 proced./usuário 
(1 proced./hemiarcada);
- prótese total: 8 proced./usuário;
- outras próteses: 4 proced./usuário.
Duração do procedimento: 20 min.
A meta de cobertura corresponderá à meta de 
cobertura da primeira consulta.</t>
    </r>
  </si>
  <si>
    <t>MONITORAMENTO</t>
  </si>
  <si>
    <t>INDICADOR</t>
  </si>
  <si>
    <t>REALIZADO</t>
  </si>
  <si>
    <t>ATIVIDADES A REALIZAR</t>
  </si>
  <si>
    <t>USUÁRIOS ou ATIVIDADES por ANO</t>
  </si>
  <si>
    <t>USUÁRIOS ou ATIVIDADES por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</si>
  <si>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</si>
  <si>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</si>
  <si>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</si>
  <si>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</si>
  <si>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</si>
  <si>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</si>
  <si>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</si>
  <si>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</si>
  <si>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</si>
  <si>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</si>
  <si>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</si>
  <si>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</si>
  <si>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ACUMULADO</t>
  </si>
  <si>
    <t>No</t>
  </si>
  <si>
    <t>porcentagem de pessoas que participaram de ação coletiva de ESCOVAÇÃO SUPERVISIONADA</t>
  </si>
  <si>
    <t>AVALIAÇÃO DE RISCO E PRIMEIRA CONSULTA</t>
  </si>
  <si>
    <t>porcentagem de  AVALIAÇÕES DE RISCO em Saúde Bucal</t>
  </si>
  <si>
    <t>porcentagem de PRIMEIRAS CONSULTAS Odontológicas Programáticas</t>
  </si>
  <si>
    <t>Esperado</t>
  </si>
  <si>
    <t>Realizado</t>
  </si>
  <si>
    <t>FÓRMULA</t>
  </si>
  <si>
    <t>x100</t>
  </si>
  <si>
    <r>
      <t xml:space="preserve">ORIENTAÇÕES PARA UTILIZAÇÃO DA PLANILHA
</t>
    </r>
    <r>
      <rPr>
        <b/>
        <sz val="11"/>
        <rFont val="Arial"/>
        <family val="2"/>
      </rPr>
      <t>(INSTRUMENTO SOB VALIDAÇÃO)</t>
    </r>
  </si>
  <si>
    <t>porcentagem de usuários que receberam ESCOVA DE DENTES e DENTIFRÍCIO FLUORETADO</t>
  </si>
  <si>
    <t>número de usuários que receberam ESCOVA DE DENTES e DENTIFRÍCIO FLUORETADO</t>
  </si>
  <si>
    <t>número total estimado de usuários que receberam ESCOVA DE DENTES e DENTIFRÍCIO FLUORETADO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</si>
</sst>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0.00000000"/>
    <numFmt numFmtId="179" formatCode="0.0000000"/>
    <numFmt numFmtId="180" formatCode="0.0000000000"/>
    <numFmt numFmtId="181" formatCode="0.000000000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10"/>
      <name val="Arial"/>
      <family val="2"/>
    </font>
    <font>
      <b/>
      <sz val="14"/>
      <color indexed="9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vertAlign val="superscript"/>
      <sz val="11"/>
      <name val="Verdana"/>
      <family val="2"/>
    </font>
    <font>
      <b/>
      <sz val="11"/>
      <color indexed="10"/>
      <name val="Verdana"/>
      <family val="2"/>
    </font>
    <font>
      <u val="single"/>
      <sz val="10"/>
      <name val="Verdana"/>
      <family val="2"/>
    </font>
    <font>
      <u val="single"/>
      <sz val="11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8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31"/>
      </patternFill>
    </fill>
  </fills>
  <borders count="140">
    <border>
      <left/>
      <right/>
      <top/>
      <bottom/>
      <diagonal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>
        <color indexed="9"/>
      </left>
      <right style="hair"/>
      <top style="medium">
        <color indexed="9"/>
      </top>
      <bottom style="hair"/>
    </border>
    <border>
      <left style="hair"/>
      <right style="thin"/>
      <top style="medium">
        <color indexed="9"/>
      </top>
      <bottom style="hair"/>
    </border>
    <border>
      <left style="medium">
        <color indexed="9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9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medium">
        <color indexed="9"/>
      </top>
      <bottom style="thin"/>
    </border>
    <border>
      <left style="medium">
        <color indexed="9"/>
      </left>
      <right style="thin"/>
      <top style="medium">
        <color indexed="9"/>
      </top>
      <bottom style="hair"/>
    </border>
    <border>
      <left style="medium">
        <color indexed="9"/>
      </left>
      <right style="thin"/>
      <top style="hair"/>
      <bottom style="thin"/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hair"/>
    </border>
    <border>
      <left style="thin"/>
      <right style="medium">
        <color indexed="9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>
        <color indexed="9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>
        <color indexed="9"/>
      </left>
      <right style="hair"/>
      <top style="medium">
        <color indexed="9"/>
      </top>
      <bottom style="thin"/>
    </border>
    <border>
      <left style="hair"/>
      <right style="thin"/>
      <top style="medium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medium">
        <color indexed="9"/>
      </left>
      <right style="hair"/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>
        <color indexed="9"/>
      </left>
      <right style="thin"/>
      <top style="hair"/>
      <bottom style="hair"/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>
        <color indexed="9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>
        <color indexed="9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>
        <color indexed="9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medium">
        <color indexed="9"/>
      </top>
      <bottom style="hair"/>
    </border>
    <border>
      <left style="medium">
        <color indexed="9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hair"/>
    </border>
    <border>
      <left style="medium">
        <color indexed="9"/>
      </left>
      <right>
        <color indexed="63"/>
      </right>
      <top style="hair"/>
      <bottom style="thin"/>
    </border>
    <border>
      <left style="thin"/>
      <right style="medium">
        <color indexed="9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>
        <color indexed="9"/>
      </right>
      <top>
        <color indexed="63"/>
      </top>
      <bottom style="hair"/>
    </border>
    <border>
      <left style="thin"/>
      <right style="thin"/>
      <top style="medium">
        <color indexed="9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>
        <color indexed="9"/>
      </top>
      <bottom style="hair"/>
    </border>
    <border>
      <left style="hair"/>
      <right style="thin"/>
      <top style="thin"/>
      <bottom style="thin"/>
    </border>
    <border>
      <left style="hair">
        <color indexed="9"/>
      </left>
      <right style="hair"/>
      <top style="hair">
        <color indexed="9"/>
      </top>
      <bottom style="hair"/>
    </border>
    <border>
      <left style="hair"/>
      <right style="hair"/>
      <top style="hair">
        <color indexed="9"/>
      </top>
      <bottom style="hair"/>
    </border>
    <border>
      <left style="hair"/>
      <right style="thin"/>
      <top style="hair">
        <color indexed="9"/>
      </top>
      <bottom style="hair"/>
    </border>
    <border>
      <left style="hair">
        <color indexed="9"/>
      </left>
      <right style="hair"/>
      <top style="hair"/>
      <bottom style="hair"/>
    </border>
    <border>
      <left style="hair">
        <color indexed="9"/>
      </left>
      <right style="hair"/>
      <top style="hair"/>
      <bottom style="thin"/>
    </border>
    <border>
      <left style="hair"/>
      <right style="medium">
        <color indexed="9"/>
      </right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hair"/>
    </border>
    <border>
      <left style="hair"/>
      <right style="medium">
        <color indexed="9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hair"/>
      <bottom style="hair"/>
    </border>
    <border>
      <left style="thin">
        <color indexed="9"/>
      </left>
      <right style="hair"/>
      <top style="thin">
        <color indexed="9"/>
      </top>
      <bottom style="thin"/>
    </border>
    <border>
      <left style="hair"/>
      <right style="thin"/>
      <top style="thin">
        <color indexed="9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>
        <color indexed="9"/>
      </left>
      <right style="hair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hair"/>
    </border>
    <border>
      <left style="medium">
        <color indexed="9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2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 indent="1"/>
    </xf>
    <xf numFmtId="0" fontId="12" fillId="2" borderId="0" xfId="0" applyFont="1" applyFill="1" applyAlignment="1">
      <alignment horizontal="left" vertical="center" indent="1"/>
    </xf>
    <xf numFmtId="0" fontId="8" fillId="2" borderId="0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1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1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1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1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vertical="center"/>
    </xf>
    <xf numFmtId="0" fontId="14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left" vertical="center" wrapText="1" indent="1"/>
      <protection/>
    </xf>
    <xf numFmtId="0" fontId="14" fillId="5" borderId="10" xfId="0" applyFont="1" applyFill="1" applyBorder="1" applyAlignment="1" applyProtection="1">
      <alignment horizontal="left" vertical="center" wrapText="1" indent="1"/>
      <protection/>
    </xf>
    <xf numFmtId="9" fontId="15" fillId="2" borderId="11" xfId="0" applyNumberFormat="1" applyFont="1" applyFill="1" applyBorder="1" applyAlignment="1" applyProtection="1">
      <alignment horizontal="center" vertical="center"/>
      <protection/>
    </xf>
    <xf numFmtId="9" fontId="15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left" vertical="center" wrapText="1"/>
      <protection/>
    </xf>
    <xf numFmtId="0" fontId="15" fillId="2" borderId="0" xfId="0" applyFont="1" applyFill="1" applyBorder="1" applyAlignment="1" applyProtection="1">
      <alignment horizontal="center" vertical="center" wrapText="1"/>
      <protection/>
    </xf>
    <xf numFmtId="0" fontId="15" fillId="2" borderId="12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15" fillId="2" borderId="8" xfId="0" applyFont="1" applyFill="1" applyBorder="1" applyAlignment="1" applyProtection="1">
      <alignment horizontal="center" vertical="center" wrapText="1"/>
      <protection/>
    </xf>
    <xf numFmtId="0" fontId="8" fillId="2" borderId="15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15" fillId="2" borderId="16" xfId="0" applyFont="1" applyFill="1" applyBorder="1" applyAlignment="1" applyProtection="1">
      <alignment horizontal="center" vertical="center" wrapText="1"/>
      <protection/>
    </xf>
    <xf numFmtId="1" fontId="15" fillId="2" borderId="17" xfId="0" applyNumberFormat="1" applyFont="1" applyFill="1" applyBorder="1" applyAlignment="1" applyProtection="1">
      <alignment horizontal="center" vertical="center" wrapText="1"/>
      <protection/>
    </xf>
    <xf numFmtId="1" fontId="15" fillId="2" borderId="18" xfId="0" applyNumberFormat="1" applyFont="1" applyFill="1" applyBorder="1" applyAlignment="1" applyProtection="1">
      <alignment horizontal="center" vertical="center" wrapText="1"/>
      <protection/>
    </xf>
    <xf numFmtId="1" fontId="15" fillId="2" borderId="19" xfId="0" applyNumberFormat="1" applyFont="1" applyFill="1" applyBorder="1" applyAlignment="1" applyProtection="1">
      <alignment horizontal="center" vertical="center" wrapText="1"/>
      <protection/>
    </xf>
    <xf numFmtId="1" fontId="15" fillId="2" borderId="15" xfId="0" applyNumberFormat="1" applyFont="1" applyFill="1" applyBorder="1" applyAlignment="1" applyProtection="1">
      <alignment horizontal="center" vertical="center" wrapText="1"/>
      <protection/>
    </xf>
    <xf numFmtId="1" fontId="15" fillId="2" borderId="8" xfId="0" applyNumberFormat="1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15" fillId="4" borderId="23" xfId="0" applyFont="1" applyFill="1" applyBorder="1" applyAlignment="1" applyProtection="1">
      <alignment horizontal="center" vertical="center" wrapText="1"/>
      <protection locked="0"/>
    </xf>
    <xf numFmtId="2" fontId="15" fillId="2" borderId="24" xfId="0" applyNumberFormat="1" applyFont="1" applyFill="1" applyBorder="1" applyAlignment="1" applyProtection="1">
      <alignment horizontal="center" vertical="center" wrapText="1"/>
      <protection/>
    </xf>
    <xf numFmtId="2" fontId="15" fillId="2" borderId="25" xfId="0" applyNumberFormat="1" applyFont="1" applyFill="1" applyBorder="1" applyAlignment="1" applyProtection="1">
      <alignment horizontal="center" vertical="center" wrapText="1"/>
      <protection/>
    </xf>
    <xf numFmtId="2" fontId="15" fillId="2" borderId="26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 horizontal="left" vertical="center" wrapText="1" indent="1"/>
    </xf>
    <xf numFmtId="0" fontId="15" fillId="2" borderId="27" xfId="0" applyFont="1" applyFill="1" applyBorder="1" applyAlignment="1" applyProtection="1">
      <alignment horizontal="center" vertical="center" wrapText="1"/>
      <protection/>
    </xf>
    <xf numFmtId="0" fontId="15" fillId="2" borderId="28" xfId="0" applyFont="1" applyFill="1" applyBorder="1" applyAlignment="1" applyProtection="1">
      <alignment horizontal="center" vertical="center" wrapText="1"/>
      <protection/>
    </xf>
    <xf numFmtId="0" fontId="15" fillId="2" borderId="29" xfId="0" applyFont="1" applyFill="1" applyBorder="1" applyAlignment="1" applyProtection="1">
      <alignment horizontal="center" vertical="center" wrapText="1"/>
      <protection/>
    </xf>
    <xf numFmtId="0" fontId="15" fillId="2" borderId="30" xfId="0" applyFont="1" applyFill="1" applyBorder="1" applyAlignment="1" applyProtection="1">
      <alignment horizontal="center" vertical="center" wrapText="1"/>
      <protection/>
    </xf>
    <xf numFmtId="0" fontId="15" fillId="2" borderId="3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8" fillId="2" borderId="29" xfId="20" applyNumberFormat="1" applyFont="1" applyFill="1" applyBorder="1" applyAlignment="1" applyProtection="1">
      <alignment horizontal="left" vertical="center" wrapText="1"/>
      <protection/>
    </xf>
    <xf numFmtId="1" fontId="15" fillId="2" borderId="32" xfId="0" applyNumberFormat="1" applyFont="1" applyFill="1" applyBorder="1" applyAlignment="1" applyProtection="1">
      <alignment horizontal="center" vertical="center" wrapText="1"/>
      <protection/>
    </xf>
    <xf numFmtId="1" fontId="15" fillId="2" borderId="33" xfId="0" applyNumberFormat="1" applyFont="1" applyFill="1" applyBorder="1" applyAlignment="1" applyProtection="1">
      <alignment horizontal="center" vertical="center" wrapText="1"/>
      <protection/>
    </xf>
    <xf numFmtId="1" fontId="8" fillId="2" borderId="29" xfId="0" applyNumberFormat="1" applyFont="1" applyFill="1" applyBorder="1" applyAlignment="1" applyProtection="1">
      <alignment horizontal="left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left" vertical="center" wrapText="1" indent="1"/>
      <protection/>
    </xf>
    <xf numFmtId="0" fontId="14" fillId="2" borderId="35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left" vertical="center" wrapText="1" indent="1"/>
      <protection/>
    </xf>
    <xf numFmtId="0" fontId="1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 horizontal="left" vertical="center" wrapText="1" indent="1"/>
      <protection/>
    </xf>
    <xf numFmtId="0" fontId="14" fillId="2" borderId="0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14" fillId="2" borderId="36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14" fillId="2" borderId="37" xfId="0" applyFont="1" applyFill="1" applyBorder="1" applyAlignment="1" applyProtection="1">
      <alignment horizontal="center" vertical="center" wrapText="1"/>
      <protection/>
    </xf>
    <xf numFmtId="0" fontId="15" fillId="2" borderId="36" xfId="0" applyFont="1" applyFill="1" applyBorder="1" applyAlignment="1" applyProtection="1">
      <alignment/>
      <protection/>
    </xf>
    <xf numFmtId="0" fontId="15" fillId="2" borderId="38" xfId="0" applyFont="1" applyFill="1" applyBorder="1" applyAlignment="1" applyProtection="1">
      <alignment horizontal="center" vertical="center" wrapText="1"/>
      <protection/>
    </xf>
    <xf numFmtId="1" fontId="15" fillId="2" borderId="28" xfId="0" applyNumberFormat="1" applyFont="1" applyFill="1" applyBorder="1" applyAlignment="1" applyProtection="1">
      <alignment horizontal="center" vertical="center" wrapText="1"/>
      <protection/>
    </xf>
    <xf numFmtId="2" fontId="15" fillId="2" borderId="38" xfId="0" applyNumberFormat="1" applyFont="1" applyFill="1" applyBorder="1" applyAlignment="1" applyProtection="1">
      <alignment horizontal="center" vertical="center"/>
      <protection/>
    </xf>
    <xf numFmtId="1" fontId="15" fillId="2" borderId="29" xfId="0" applyNumberFormat="1" applyFont="1" applyFill="1" applyBorder="1" applyAlignment="1" applyProtection="1">
      <alignment horizontal="center" vertical="center" wrapText="1"/>
      <protection/>
    </xf>
    <xf numFmtId="2" fontId="15" fillId="2" borderId="16" xfId="0" applyNumberFormat="1" applyFont="1" applyFill="1" applyBorder="1" applyAlignment="1" applyProtection="1">
      <alignment horizontal="center" vertical="center"/>
      <protection/>
    </xf>
    <xf numFmtId="2" fontId="15" fillId="2" borderId="6" xfId="0" applyNumberFormat="1" applyFont="1" applyFill="1" applyBorder="1" applyAlignment="1" applyProtection="1">
      <alignment horizontal="center" vertical="center"/>
      <protection/>
    </xf>
    <xf numFmtId="1" fontId="15" fillId="2" borderId="39" xfId="0" applyNumberFormat="1" applyFont="1" applyFill="1" applyBorder="1" applyAlignment="1" applyProtection="1">
      <alignment horizontal="center" vertical="center" wrapText="1"/>
      <protection/>
    </xf>
    <xf numFmtId="2" fontId="15" fillId="2" borderId="19" xfId="0" applyNumberFormat="1" applyFont="1" applyFill="1" applyBorder="1" applyAlignment="1" applyProtection="1">
      <alignment horizontal="center" vertical="center"/>
      <protection/>
    </xf>
    <xf numFmtId="0" fontId="14" fillId="2" borderId="15" xfId="0" applyFont="1" applyFill="1" applyBorder="1" applyAlignment="1" applyProtection="1">
      <alignment horizontal="center" vertical="center" wrapText="1"/>
      <protection/>
    </xf>
    <xf numFmtId="1" fontId="14" fillId="2" borderId="15" xfId="0" applyNumberFormat="1" applyFont="1" applyFill="1" applyBorder="1" applyAlignment="1" applyProtection="1">
      <alignment horizontal="center" vertical="center" wrapText="1"/>
      <protection/>
    </xf>
    <xf numFmtId="2" fontId="14" fillId="2" borderId="8" xfId="0" applyNumberFormat="1" applyFont="1" applyFill="1" applyBorder="1" applyAlignment="1" applyProtection="1">
      <alignment horizontal="center" vertical="center"/>
      <protection/>
    </xf>
    <xf numFmtId="0" fontId="14" fillId="2" borderId="34" xfId="0" applyFont="1" applyFill="1" applyBorder="1" applyAlignment="1" applyProtection="1">
      <alignment horizontal="center" vertical="center" textRotation="90"/>
      <protection/>
    </xf>
    <xf numFmtId="1" fontId="15" fillId="2" borderId="0" xfId="0" applyNumberFormat="1" applyFont="1" applyFill="1" applyBorder="1" applyAlignment="1" applyProtection="1">
      <alignment horizontal="center" vertical="center" wrapText="1"/>
      <protection/>
    </xf>
    <xf numFmtId="2" fontId="15" fillId="2" borderId="0" xfId="0" applyNumberFormat="1" applyFont="1" applyFill="1" applyBorder="1" applyAlignment="1" applyProtection="1">
      <alignment horizontal="center" vertical="center"/>
      <protection/>
    </xf>
    <xf numFmtId="1" fontId="15" fillId="2" borderId="40" xfId="0" applyNumberFormat="1" applyFont="1" applyFill="1" applyBorder="1" applyAlignment="1" applyProtection="1">
      <alignment horizontal="center" vertical="center" wrapText="1"/>
      <protection/>
    </xf>
    <xf numFmtId="2" fontId="15" fillId="2" borderId="41" xfId="0" applyNumberFormat="1" applyFont="1" applyFill="1" applyBorder="1" applyAlignment="1" applyProtection="1">
      <alignment horizontal="center" vertical="center"/>
      <protection/>
    </xf>
    <xf numFmtId="1" fontId="15" fillId="2" borderId="12" xfId="0" applyNumberFormat="1" applyFont="1" applyFill="1" applyBorder="1" applyAlignment="1" applyProtection="1">
      <alignment horizontal="center" vertical="center" wrapText="1"/>
      <protection/>
    </xf>
    <xf numFmtId="1" fontId="14" fillId="2" borderId="42" xfId="0" applyNumberFormat="1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textRotation="90" wrapText="1"/>
      <protection/>
    </xf>
    <xf numFmtId="1" fontId="15" fillId="2" borderId="0" xfId="0" applyNumberFormat="1" applyFont="1" applyFill="1" applyAlignment="1" applyProtection="1">
      <alignment/>
      <protection/>
    </xf>
    <xf numFmtId="0" fontId="15" fillId="2" borderId="43" xfId="0" applyFont="1" applyFill="1" applyBorder="1" applyAlignment="1" applyProtection="1">
      <alignment horizontal="center" vertical="center" wrapText="1"/>
      <protection/>
    </xf>
    <xf numFmtId="2" fontId="15" fillId="2" borderId="43" xfId="0" applyNumberFormat="1" applyFont="1" applyFill="1" applyBorder="1" applyAlignment="1" applyProtection="1">
      <alignment horizontal="center" vertical="center"/>
      <protection/>
    </xf>
    <xf numFmtId="2" fontId="14" fillId="2" borderId="44" xfId="0" applyNumberFormat="1" applyFont="1" applyFill="1" applyBorder="1" applyAlignment="1" applyProtection="1">
      <alignment horizontal="center" vertical="center"/>
      <protection/>
    </xf>
    <xf numFmtId="0" fontId="15" fillId="2" borderId="41" xfId="0" applyFont="1" applyFill="1" applyBorder="1" applyAlignment="1" applyProtection="1">
      <alignment horizontal="center" vertical="center" wrapText="1"/>
      <protection/>
    </xf>
    <xf numFmtId="2" fontId="14" fillId="2" borderId="45" xfId="0" applyNumberFormat="1" applyFont="1" applyFill="1" applyBorder="1" applyAlignment="1" applyProtection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 wrapText="1"/>
      <protection/>
    </xf>
    <xf numFmtId="3" fontId="14" fillId="2" borderId="42" xfId="0" applyNumberFormat="1" applyFont="1" applyFill="1" applyBorder="1" applyAlignment="1" applyProtection="1">
      <alignment horizontal="center" vertical="center" wrapText="1"/>
      <protection/>
    </xf>
    <xf numFmtId="3" fontId="14" fillId="2" borderId="0" xfId="0" applyNumberFormat="1" applyFont="1" applyFill="1" applyBorder="1" applyAlignment="1" applyProtection="1">
      <alignment horizontal="center" vertical="center" wrapText="1"/>
      <protection/>
    </xf>
    <xf numFmtId="1" fontId="14" fillId="2" borderId="0" xfId="0" applyNumberFormat="1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44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5" fillId="2" borderId="34" xfId="0" applyFont="1" applyFill="1" applyBorder="1" applyAlignment="1" applyProtection="1">
      <alignment horizontal="center"/>
      <protection/>
    </xf>
    <xf numFmtId="1" fontId="15" fillId="2" borderId="38" xfId="0" applyNumberFormat="1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3" fontId="15" fillId="2" borderId="12" xfId="0" applyNumberFormat="1" applyFont="1" applyFill="1" applyBorder="1" applyAlignment="1" applyProtection="1">
      <alignment horizontal="center" vertical="center" wrapText="1"/>
      <protection/>
    </xf>
    <xf numFmtId="1" fontId="15" fillId="2" borderId="6" xfId="0" applyNumberFormat="1" applyFont="1" applyFill="1" applyBorder="1" applyAlignment="1" applyProtection="1">
      <alignment horizontal="center" vertical="center" wrapText="1"/>
      <protection/>
    </xf>
    <xf numFmtId="174" fontId="15" fillId="2" borderId="15" xfId="0" applyNumberFormat="1" applyFont="1" applyFill="1" applyBorder="1" applyAlignment="1" applyProtection="1">
      <alignment horizontal="center" vertical="center" wrapText="1"/>
      <protection/>
    </xf>
    <xf numFmtId="174" fontId="15" fillId="2" borderId="0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Font="1" applyFill="1" applyBorder="1" applyAlignment="1" applyProtection="1">
      <alignment horizontal="center" vertical="center"/>
      <protection/>
    </xf>
    <xf numFmtId="0" fontId="15" fillId="2" borderId="43" xfId="0" applyFont="1" applyFill="1" applyBorder="1" applyAlignment="1" applyProtection="1">
      <alignment horizontal="center" vertical="center"/>
      <protection/>
    </xf>
    <xf numFmtId="165" fontId="15" fillId="2" borderId="1" xfId="0" applyNumberFormat="1" applyFont="1" applyFill="1" applyBorder="1" applyAlignment="1" applyProtection="1">
      <alignment horizontal="center" vertical="center"/>
      <protection/>
    </xf>
    <xf numFmtId="165" fontId="15" fillId="2" borderId="8" xfId="0" applyNumberFormat="1" applyFont="1" applyFill="1" applyBorder="1" applyAlignment="1" applyProtection="1">
      <alignment horizontal="center" vertical="center"/>
      <protection/>
    </xf>
    <xf numFmtId="3" fontId="15" fillId="4" borderId="47" xfId="0" applyNumberFormat="1" applyFont="1" applyFill="1" applyBorder="1" applyAlignment="1" applyProtection="1">
      <alignment horizontal="center" vertical="center"/>
      <protection locked="0"/>
    </xf>
    <xf numFmtId="3" fontId="15" fillId="4" borderId="20" xfId="0" applyNumberFormat="1" applyFont="1" applyFill="1" applyBorder="1" applyAlignment="1" applyProtection="1">
      <alignment horizontal="center" vertical="center"/>
      <protection locked="0"/>
    </xf>
    <xf numFmtId="3" fontId="15" fillId="4" borderId="48" xfId="0" applyNumberFormat="1" applyFont="1" applyFill="1" applyBorder="1" applyAlignment="1" applyProtection="1">
      <alignment horizontal="center" vertical="center"/>
      <protection locked="0"/>
    </xf>
    <xf numFmtId="9" fontId="15" fillId="2" borderId="49" xfId="19" applyFont="1" applyFill="1" applyBorder="1" applyAlignment="1" applyProtection="1">
      <alignment horizontal="center" vertical="center" wrapText="1"/>
      <protection/>
    </xf>
    <xf numFmtId="9" fontId="15" fillId="2" borderId="45" xfId="19" applyFont="1" applyFill="1" applyBorder="1" applyAlignment="1" applyProtection="1">
      <alignment horizontal="center" vertical="center" wrapText="1"/>
      <protection/>
    </xf>
    <xf numFmtId="0" fontId="15" fillId="2" borderId="50" xfId="0" applyFont="1" applyFill="1" applyBorder="1" applyAlignment="1" applyProtection="1">
      <alignment/>
      <protection/>
    </xf>
    <xf numFmtId="0" fontId="14" fillId="2" borderId="51" xfId="0" applyFont="1" applyFill="1" applyBorder="1" applyAlignment="1" applyProtection="1">
      <alignment horizontal="center" vertical="center" wrapText="1"/>
      <protection/>
    </xf>
    <xf numFmtId="0" fontId="14" fillId="2" borderId="42" xfId="0" applyFont="1" applyFill="1" applyBorder="1" applyAlignment="1" applyProtection="1">
      <alignment horizontal="center" vertical="center" wrapText="1"/>
      <protection/>
    </xf>
    <xf numFmtId="0" fontId="15" fillId="2" borderId="52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Alignment="1" applyProtection="1">
      <alignment vertical="center" wrapText="1"/>
      <protection/>
    </xf>
    <xf numFmtId="0" fontId="14" fillId="2" borderId="34" xfId="0" applyFont="1" applyFill="1" applyBorder="1" applyAlignment="1" applyProtection="1">
      <alignment horizontal="left" vertical="center" wrapText="1" indent="1"/>
      <protection/>
    </xf>
    <xf numFmtId="0" fontId="15" fillId="2" borderId="34" xfId="0" applyFont="1" applyFill="1" applyBorder="1" applyAlignment="1" applyProtection="1">
      <alignment vertical="center" wrapText="1"/>
      <protection/>
    </xf>
    <xf numFmtId="0" fontId="15" fillId="2" borderId="28" xfId="0" applyFont="1" applyFill="1" applyBorder="1" applyAlignment="1" applyProtection="1">
      <alignment horizontal="left" vertical="center" wrapText="1" indent="1"/>
      <protection/>
    </xf>
    <xf numFmtId="0" fontId="15" fillId="2" borderId="29" xfId="0" applyFont="1" applyFill="1" applyBorder="1" applyAlignment="1" applyProtection="1">
      <alignment horizontal="left" vertical="center" wrapText="1" indent="1"/>
      <protection/>
    </xf>
    <xf numFmtId="0" fontId="15" fillId="2" borderId="2" xfId="0" applyFont="1" applyFill="1" applyBorder="1" applyAlignment="1" applyProtection="1">
      <alignment horizontal="left" vertical="center" wrapText="1" indent="1"/>
      <protection/>
    </xf>
    <xf numFmtId="0" fontId="15" fillId="2" borderId="10" xfId="0" applyFont="1" applyFill="1" applyBorder="1" applyAlignment="1" applyProtection="1">
      <alignment horizontal="left" vertical="center" wrapText="1" indent="1"/>
      <protection/>
    </xf>
    <xf numFmtId="0" fontId="15" fillId="2" borderId="53" xfId="0" applyFont="1" applyFill="1" applyBorder="1" applyAlignment="1" applyProtection="1">
      <alignment horizontal="left" vertical="center" wrapText="1" indent="1"/>
      <protection/>
    </xf>
    <xf numFmtId="0" fontId="15" fillId="2" borderId="53" xfId="0" applyFont="1" applyFill="1" applyBorder="1" applyAlignment="1" applyProtection="1">
      <alignment horizontal="center" vertical="center" wrapText="1"/>
      <protection/>
    </xf>
    <xf numFmtId="9" fontId="15" fillId="2" borderId="53" xfId="19" applyFont="1" applyFill="1" applyBorder="1" applyAlignment="1" applyProtection="1">
      <alignment horizontal="center" vertical="center" wrapText="1"/>
      <protection/>
    </xf>
    <xf numFmtId="0" fontId="15" fillId="2" borderId="54" xfId="0" applyFont="1" applyFill="1" applyBorder="1" applyAlignment="1" applyProtection="1">
      <alignment vertical="center" wrapText="1"/>
      <protection/>
    </xf>
    <xf numFmtId="0" fontId="15" fillId="2" borderId="12" xfId="0" applyFont="1" applyFill="1" applyBorder="1" applyAlignment="1" applyProtection="1">
      <alignment horizontal="left" vertical="center" wrapText="1" indent="1"/>
      <protection/>
    </xf>
    <xf numFmtId="164" fontId="15" fillId="2" borderId="12" xfId="0" applyNumberFormat="1" applyFont="1" applyFill="1" applyBorder="1" applyAlignment="1" applyProtection="1">
      <alignment horizontal="center" vertical="center" wrapText="1"/>
      <protection/>
    </xf>
    <xf numFmtId="9" fontId="15" fillId="2" borderId="41" xfId="19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left" vertical="center" wrapText="1" indent="1"/>
      <protection/>
    </xf>
    <xf numFmtId="164" fontId="15" fillId="2" borderId="1" xfId="0" applyNumberFormat="1" applyFont="1" applyFill="1" applyBorder="1" applyAlignment="1" applyProtection="1">
      <alignment horizontal="center" vertical="center" wrapText="1"/>
      <protection/>
    </xf>
    <xf numFmtId="1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left" vertical="center" wrapText="1" indent="1"/>
      <protection/>
    </xf>
    <xf numFmtId="9" fontId="15" fillId="2" borderId="0" xfId="19" applyFont="1" applyFill="1" applyBorder="1" applyAlignment="1" applyProtection="1">
      <alignment horizontal="center" vertical="center" wrapText="1"/>
      <protection/>
    </xf>
    <xf numFmtId="164" fontId="15" fillId="2" borderId="53" xfId="0" applyNumberFormat="1" applyFont="1" applyFill="1" applyBorder="1" applyAlignment="1" applyProtection="1">
      <alignment horizontal="center" vertical="center" wrapText="1"/>
      <protection/>
    </xf>
    <xf numFmtId="1" fontId="15" fillId="2" borderId="53" xfId="0" applyNumberFormat="1" applyFont="1" applyFill="1" applyBorder="1" applyAlignment="1" applyProtection="1">
      <alignment horizontal="center" vertical="center" wrapText="1"/>
      <protection/>
    </xf>
    <xf numFmtId="0" fontId="14" fillId="2" borderId="36" xfId="0" applyFont="1" applyFill="1" applyBorder="1" applyAlignment="1" applyProtection="1">
      <alignment horizontal="left" vertical="center" wrapText="1" indent="1"/>
      <protection/>
    </xf>
    <xf numFmtId="0" fontId="15" fillId="2" borderId="0" xfId="0" applyFont="1" applyFill="1" applyBorder="1" applyAlignment="1" applyProtection="1">
      <alignment horizontal="left" vertical="top" wrapText="1" indent="1"/>
      <protection/>
    </xf>
    <xf numFmtId="0" fontId="15" fillId="2" borderId="10" xfId="0" applyFont="1" applyFill="1" applyBorder="1" applyAlignment="1" applyProtection="1">
      <alignment horizontal="left" vertical="top" wrapText="1" indent="1"/>
      <protection/>
    </xf>
    <xf numFmtId="0" fontId="14" fillId="2" borderId="0" xfId="0" applyFont="1" applyFill="1" applyBorder="1" applyAlignment="1" applyProtection="1">
      <alignment horizontal="left" vertical="center" wrapText="1" indent="1"/>
      <protection/>
    </xf>
    <xf numFmtId="0" fontId="15" fillId="2" borderId="13" xfId="0" applyFont="1" applyFill="1" applyBorder="1" applyAlignment="1" applyProtection="1">
      <alignment horizontal="left" vertical="center" wrapText="1" indent="1"/>
      <protection/>
    </xf>
    <xf numFmtId="10" fontId="15" fillId="2" borderId="28" xfId="0" applyNumberFormat="1" applyFont="1" applyFill="1" applyBorder="1" applyAlignment="1" applyProtection="1">
      <alignment horizontal="left" vertical="center" wrapText="1" indent="1"/>
      <protection/>
    </xf>
    <xf numFmtId="164" fontId="15" fillId="2" borderId="28" xfId="0" applyNumberFormat="1" applyFont="1" applyFill="1" applyBorder="1" applyAlignment="1" applyProtection="1">
      <alignment horizontal="center" vertical="center" wrapText="1"/>
      <protection/>
    </xf>
    <xf numFmtId="164" fontId="15" fillId="2" borderId="28" xfId="0" applyNumberFormat="1" applyFont="1" applyFill="1" applyBorder="1" applyAlignment="1" applyProtection="1" quotePrefix="1">
      <alignment horizontal="center" vertical="center" wrapText="1"/>
      <protection/>
    </xf>
    <xf numFmtId="49" fontId="15" fillId="2" borderId="41" xfId="19" applyNumberFormat="1" applyFont="1" applyFill="1" applyBorder="1" applyAlignment="1" applyProtection="1" quotePrefix="1">
      <alignment horizontal="center" vertical="center" wrapText="1"/>
      <protection/>
    </xf>
    <xf numFmtId="49" fontId="15" fillId="2" borderId="41" xfId="19" applyNumberFormat="1" applyFont="1" applyFill="1" applyBorder="1" applyAlignment="1" applyProtection="1">
      <alignment horizontal="center" vertical="center" wrapText="1"/>
      <protection/>
    </xf>
    <xf numFmtId="10" fontId="15" fillId="2" borderId="2" xfId="0" applyNumberFormat="1" applyFont="1" applyFill="1" applyBorder="1" applyAlignment="1" applyProtection="1">
      <alignment horizontal="left" vertical="center" wrapText="1" indent="1"/>
      <protection/>
    </xf>
    <xf numFmtId="164" fontId="15" fillId="2" borderId="2" xfId="0" applyNumberFormat="1" applyFont="1" applyFill="1" applyBorder="1" applyAlignment="1" applyProtection="1">
      <alignment horizontal="center" vertical="center" wrapText="1"/>
      <protection/>
    </xf>
    <xf numFmtId="1" fontId="15" fillId="2" borderId="2" xfId="0" applyNumberFormat="1" applyFont="1" applyFill="1" applyBorder="1" applyAlignment="1" applyProtection="1">
      <alignment horizontal="center" vertical="center" wrapText="1"/>
      <protection/>
    </xf>
    <xf numFmtId="49" fontId="15" fillId="2" borderId="45" xfId="19" applyNumberFormat="1" applyFont="1" applyFill="1" applyBorder="1" applyAlignment="1" applyProtection="1" quotePrefix="1">
      <alignment horizontal="center" vertical="center" wrapText="1"/>
      <protection/>
    </xf>
    <xf numFmtId="10" fontId="15" fillId="2" borderId="53" xfId="0" applyNumberFormat="1" applyFont="1" applyFill="1" applyBorder="1" applyAlignment="1" applyProtection="1">
      <alignment horizontal="left" vertical="center" wrapText="1" indent="1"/>
      <protection/>
    </xf>
    <xf numFmtId="0" fontId="15" fillId="2" borderId="32" xfId="0" applyFont="1" applyFill="1" applyBorder="1" applyAlignment="1" applyProtection="1">
      <alignment horizontal="left" vertical="center" wrapText="1" indent="1"/>
      <protection/>
    </xf>
    <xf numFmtId="0" fontId="15" fillId="2" borderId="49" xfId="0" applyFont="1" applyFill="1" applyBorder="1" applyAlignment="1" applyProtection="1">
      <alignment vertical="center" wrapText="1"/>
      <protection/>
    </xf>
    <xf numFmtId="10" fontId="15" fillId="2" borderId="0" xfId="0" applyNumberFormat="1" applyFont="1" applyFill="1" applyBorder="1" applyAlignment="1" applyProtection="1">
      <alignment horizontal="center" vertical="center" wrapText="1"/>
      <protection/>
    </xf>
    <xf numFmtId="2" fontId="15" fillId="2" borderId="12" xfId="0" applyNumberFormat="1" applyFont="1" applyFill="1" applyBorder="1" applyAlignment="1" applyProtection="1">
      <alignment horizontal="center" vertical="center" wrapText="1"/>
      <protection/>
    </xf>
    <xf numFmtId="0" fontId="15" fillId="2" borderId="32" xfId="0" applyFont="1" applyFill="1" applyBorder="1" applyAlignment="1" applyProtection="1">
      <alignment horizontal="center" vertical="center" wrapText="1"/>
      <protection/>
    </xf>
    <xf numFmtId="0" fontId="15" fillId="2" borderId="41" xfId="0" applyFont="1" applyFill="1" applyBorder="1" applyAlignment="1" applyProtection="1">
      <alignment vertical="center" wrapText="1"/>
      <protection/>
    </xf>
    <xf numFmtId="1" fontId="15" fillId="2" borderId="27" xfId="0" applyNumberFormat="1" applyFont="1" applyFill="1" applyBorder="1" applyAlignment="1" applyProtection="1">
      <alignment horizontal="center" vertical="center" wrapText="1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55" xfId="0" applyFont="1" applyFill="1" applyBorder="1" applyAlignment="1" applyProtection="1">
      <alignment vertical="center" wrapText="1"/>
      <protection/>
    </xf>
    <xf numFmtId="10" fontId="15" fillId="2" borderId="56" xfId="0" applyNumberFormat="1" applyFont="1" applyFill="1" applyBorder="1" applyAlignment="1" applyProtection="1">
      <alignment horizontal="center" vertical="center" wrapText="1"/>
      <protection/>
    </xf>
    <xf numFmtId="2" fontId="15" fillId="2" borderId="28" xfId="0" applyNumberFormat="1" applyFont="1" applyFill="1" applyBorder="1" applyAlignment="1" applyProtection="1">
      <alignment horizontal="center" vertical="center" wrapText="1"/>
      <protection/>
    </xf>
    <xf numFmtId="0" fontId="15" fillId="2" borderId="57" xfId="0" applyFont="1" applyFill="1" applyBorder="1" applyAlignment="1" applyProtection="1">
      <alignment horizontal="center" vertical="center" wrapText="1"/>
      <protection/>
    </xf>
    <xf numFmtId="0" fontId="15" fillId="2" borderId="56" xfId="0" applyFont="1" applyFill="1" applyBorder="1" applyAlignment="1" applyProtection="1">
      <alignment horizontal="center" vertical="center" wrapText="1"/>
      <protection/>
    </xf>
    <xf numFmtId="164" fontId="15" fillId="2" borderId="56" xfId="0" applyNumberFormat="1" applyFont="1" applyFill="1" applyBorder="1" applyAlignment="1" applyProtection="1">
      <alignment horizontal="center" vertical="center" wrapText="1"/>
      <protection/>
    </xf>
    <xf numFmtId="10" fontId="15" fillId="2" borderId="28" xfId="0" applyNumberFormat="1" applyFont="1" applyFill="1" applyBorder="1" applyAlignment="1" applyProtection="1">
      <alignment horizontal="center" vertical="center" wrapText="1"/>
      <protection/>
    </xf>
    <xf numFmtId="1" fontId="15" fillId="2" borderId="56" xfId="0" applyNumberFormat="1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left" vertical="center" wrapText="1" indent="1"/>
      <protection/>
    </xf>
    <xf numFmtId="0" fontId="15" fillId="2" borderId="44" xfId="0" applyFont="1" applyFill="1" applyBorder="1" applyAlignment="1" applyProtection="1">
      <alignment horizontal="center" vertical="center" wrapText="1"/>
      <protection/>
    </xf>
    <xf numFmtId="0" fontId="15" fillId="2" borderId="58" xfId="0" applyFont="1" applyFill="1" applyBorder="1" applyAlignment="1" applyProtection="1">
      <alignment horizontal="left" vertical="center" wrapText="1" indent="1"/>
      <protection/>
    </xf>
    <xf numFmtId="0" fontId="15" fillId="2" borderId="14" xfId="0" applyFont="1" applyFill="1" applyBorder="1" applyAlignment="1" applyProtection="1">
      <alignment horizontal="left" vertical="center" wrapText="1" indent="1"/>
      <protection/>
    </xf>
    <xf numFmtId="164" fontId="15" fillId="2" borderId="14" xfId="0" applyNumberFormat="1" applyFont="1" applyFill="1" applyBorder="1" applyAlignment="1" applyProtection="1">
      <alignment horizontal="center" vertical="center" wrapText="1"/>
      <protection/>
    </xf>
    <xf numFmtId="1" fontId="15" fillId="2" borderId="14" xfId="0" applyNumberFormat="1" applyFont="1" applyFill="1" applyBorder="1" applyAlignment="1" applyProtection="1">
      <alignment horizontal="center" vertical="center" wrapText="1"/>
      <protection/>
    </xf>
    <xf numFmtId="49" fontId="15" fillId="2" borderId="49" xfId="19" applyNumberFormat="1" applyFont="1" applyFill="1" applyBorder="1" applyAlignment="1" applyProtection="1" quotePrefix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left" vertical="center" wrapText="1" indent="1"/>
      <protection/>
    </xf>
    <xf numFmtId="164" fontId="15" fillId="2" borderId="17" xfId="0" applyNumberFormat="1" applyFont="1" applyFill="1" applyBorder="1" applyAlignment="1" applyProtection="1">
      <alignment horizontal="center" vertical="center" wrapText="1"/>
      <protection/>
    </xf>
    <xf numFmtId="49" fontId="15" fillId="2" borderId="19" xfId="19" applyNumberFormat="1" applyFont="1" applyFill="1" applyBorder="1" applyAlignment="1" applyProtection="1" quotePrefix="1">
      <alignment horizontal="center" vertical="center" wrapText="1"/>
      <protection/>
    </xf>
    <xf numFmtId="0" fontId="15" fillId="2" borderId="19" xfId="19" applyNumberFormat="1" applyFont="1" applyFill="1" applyBorder="1" applyAlignment="1" applyProtection="1" quotePrefix="1">
      <alignment horizontal="center" vertical="center" wrapText="1"/>
      <protection/>
    </xf>
    <xf numFmtId="9" fontId="15" fillId="2" borderId="19" xfId="19" applyFont="1" applyFill="1" applyBorder="1" applyAlignment="1" applyProtection="1">
      <alignment horizontal="center" vertical="center" wrapText="1"/>
      <protection/>
    </xf>
    <xf numFmtId="9" fontId="15" fillId="2" borderId="6" xfId="19" applyFont="1" applyFill="1" applyBorder="1" applyAlignment="1" applyProtection="1">
      <alignment horizontal="center" vertical="center" wrapText="1"/>
      <protection/>
    </xf>
    <xf numFmtId="0" fontId="15" fillId="2" borderId="59" xfId="0" applyFont="1" applyFill="1" applyBorder="1" applyAlignment="1" applyProtection="1">
      <alignment horizontal="left" vertical="center" wrapText="1" indent="1"/>
      <protection/>
    </xf>
    <xf numFmtId="9" fontId="15" fillId="2" borderId="60" xfId="19" applyFont="1" applyFill="1" applyBorder="1" applyAlignment="1" applyProtection="1">
      <alignment horizontal="center" vertical="center" wrapText="1"/>
      <protection/>
    </xf>
    <xf numFmtId="9" fontId="15" fillId="2" borderId="36" xfId="19" applyFont="1" applyFill="1" applyBorder="1" applyAlignment="1" applyProtection="1">
      <alignment horizontal="center" vertical="center" wrapText="1"/>
      <protection/>
    </xf>
    <xf numFmtId="0" fontId="15" fillId="2" borderId="34" xfId="0" applyFont="1" applyFill="1" applyBorder="1" applyAlignment="1" applyProtection="1">
      <alignment/>
      <protection/>
    </xf>
    <xf numFmtId="0" fontId="15" fillId="4" borderId="61" xfId="0" applyFont="1" applyFill="1" applyBorder="1" applyAlignment="1" applyProtection="1">
      <alignment horizontal="center" vertical="center" wrapText="1"/>
      <protection locked="0"/>
    </xf>
    <xf numFmtId="0" fontId="15" fillId="2" borderId="52" xfId="0" applyFont="1" applyFill="1" applyBorder="1" applyAlignment="1" applyProtection="1">
      <alignment/>
      <protection/>
    </xf>
    <xf numFmtId="0" fontId="15" fillId="2" borderId="62" xfId="0" applyFont="1" applyFill="1" applyBorder="1" applyAlignment="1" applyProtection="1">
      <alignment horizontal="center" vertical="center" wrapText="1"/>
      <protection/>
    </xf>
    <xf numFmtId="0" fontId="14" fillId="2" borderId="7" xfId="0" applyFont="1" applyFill="1" applyBorder="1" applyAlignment="1" applyProtection="1">
      <alignment horizontal="center" vertical="center" wrapText="1"/>
      <protection/>
    </xf>
    <xf numFmtId="0" fontId="14" fillId="2" borderId="63" xfId="0" applyFont="1" applyFill="1" applyBorder="1" applyAlignment="1" applyProtection="1">
      <alignment horizontal="center" vertical="center" wrapText="1"/>
      <protection/>
    </xf>
    <xf numFmtId="0" fontId="16" fillId="2" borderId="8" xfId="0" applyFont="1" applyFill="1" applyBorder="1" applyAlignment="1" applyProtection="1">
      <alignment horizontal="center" vertical="center" wrapText="1"/>
      <protection/>
    </xf>
    <xf numFmtId="0" fontId="15" fillId="2" borderId="36" xfId="0" applyFont="1" applyFill="1" applyBorder="1" applyAlignment="1" applyProtection="1">
      <alignment horizontal="center" vertical="center" wrapText="1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14" fillId="2" borderId="8" xfId="0" applyFont="1" applyFill="1" applyBorder="1" applyAlignment="1" applyProtection="1">
      <alignment horizontal="center" vertical="center" wrapText="1"/>
      <protection/>
    </xf>
    <xf numFmtId="0" fontId="15" fillId="2" borderId="50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1" fontId="15" fillId="2" borderId="64" xfId="0" applyNumberFormat="1" applyFont="1" applyFill="1" applyBorder="1" applyAlignment="1" applyProtection="1">
      <alignment horizontal="center" vertical="center" wrapText="1"/>
      <protection/>
    </xf>
    <xf numFmtId="0" fontId="8" fillId="2" borderId="28" xfId="20" applyNumberFormat="1" applyFont="1" applyFill="1" applyBorder="1" applyAlignment="1" applyProtection="1">
      <alignment horizontal="left" vertical="center" wrapText="1"/>
      <protection/>
    </xf>
    <xf numFmtId="1" fontId="15" fillId="2" borderId="65" xfId="0" applyNumberFormat="1" applyFont="1" applyFill="1" applyBorder="1" applyAlignment="1" applyProtection="1">
      <alignment horizontal="center" vertical="center" wrapText="1"/>
      <protection/>
    </xf>
    <xf numFmtId="1" fontId="15" fillId="2" borderId="60" xfId="0" applyNumberFormat="1" applyFont="1" applyFill="1" applyBorder="1" applyAlignment="1" applyProtection="1">
      <alignment horizontal="center" vertical="center" wrapText="1"/>
      <protection/>
    </xf>
    <xf numFmtId="1" fontId="15" fillId="2" borderId="36" xfId="0" applyNumberFormat="1" applyFont="1" applyFill="1" applyBorder="1" applyAlignment="1" applyProtection="1">
      <alignment horizontal="center" vertical="center" wrapText="1"/>
      <protection/>
    </xf>
    <xf numFmtId="0" fontId="8" fillId="2" borderId="13" xfId="20" applyNumberFormat="1" applyFont="1" applyFill="1" applyBorder="1" applyAlignment="1" applyProtection="1">
      <alignment horizontal="left" vertical="center" wrapText="1"/>
      <protection/>
    </xf>
    <xf numFmtId="0" fontId="15" fillId="2" borderId="49" xfId="0" applyFont="1" applyFill="1" applyBorder="1" applyAlignment="1" applyProtection="1">
      <alignment horizontal="center" vertical="center" wrapText="1"/>
      <protection/>
    </xf>
    <xf numFmtId="9" fontId="15" fillId="2" borderId="66" xfId="19" applyFont="1" applyFill="1" applyBorder="1" applyAlignment="1" applyProtection="1">
      <alignment horizontal="center" vertical="center" wrapText="1"/>
      <protection/>
    </xf>
    <xf numFmtId="0" fontId="8" fillId="2" borderId="28" xfId="20" applyNumberFormat="1" applyFont="1" applyFill="1" applyBorder="1" applyAlignment="1" applyProtection="1">
      <alignment vertical="center" wrapText="1"/>
      <protection/>
    </xf>
    <xf numFmtId="9" fontId="15" fillId="2" borderId="62" xfId="19" applyFont="1" applyFill="1" applyBorder="1" applyAlignment="1" applyProtection="1">
      <alignment horizontal="center" vertical="center" wrapText="1"/>
      <protection/>
    </xf>
    <xf numFmtId="1" fontId="15" fillId="2" borderId="67" xfId="0" applyNumberFormat="1" applyFont="1" applyFill="1" applyBorder="1" applyAlignment="1" applyProtection="1">
      <alignment horizontal="center" vertical="center" wrapText="1"/>
      <protection/>
    </xf>
    <xf numFmtId="0" fontId="8" fillId="2" borderId="2" xfId="20" applyNumberFormat="1" applyFont="1" applyFill="1" applyBorder="1" applyAlignment="1" applyProtection="1">
      <alignment vertical="center" wrapText="1"/>
      <protection/>
    </xf>
    <xf numFmtId="1" fontId="15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" xfId="20" applyNumberFormat="1" applyFont="1" applyFill="1" applyBorder="1" applyAlignment="1" applyProtection="1">
      <alignment horizontal="left" vertical="center" wrapText="1"/>
      <protection/>
    </xf>
    <xf numFmtId="0" fontId="15" fillId="2" borderId="50" xfId="0" applyFont="1" applyFill="1" applyBorder="1" applyAlignment="1" applyProtection="1">
      <alignment horizontal="left" vertical="top" wrapText="1"/>
      <protection/>
    </xf>
    <xf numFmtId="0" fontId="15" fillId="2" borderId="57" xfId="0" applyFont="1" applyFill="1" applyBorder="1" applyAlignment="1" applyProtection="1">
      <alignment horizontal="left" vertical="top" wrapText="1"/>
      <protection/>
    </xf>
    <xf numFmtId="9" fontId="15" fillId="2" borderId="57" xfId="19" applyFont="1" applyFill="1" applyBorder="1" applyAlignment="1" applyProtection="1">
      <alignment horizontal="center" vertical="center" wrapText="1"/>
      <protection/>
    </xf>
    <xf numFmtId="0" fontId="19" fillId="2" borderId="50" xfId="0" applyFont="1" applyFill="1" applyBorder="1" applyAlignment="1" applyProtection="1">
      <alignment horizontal="center" vertical="center" wrapText="1"/>
      <protection/>
    </xf>
    <xf numFmtId="1" fontId="15" fillId="2" borderId="68" xfId="0" applyNumberFormat="1" applyFont="1" applyFill="1" applyBorder="1" applyAlignment="1" applyProtection="1">
      <alignment horizontal="center" vertical="center" wrapText="1"/>
      <protection/>
    </xf>
    <xf numFmtId="0" fontId="15" fillId="2" borderId="50" xfId="20" applyNumberFormat="1" applyFont="1" applyFill="1" applyBorder="1" applyAlignment="1" applyProtection="1">
      <alignment vertical="center" wrapText="1"/>
      <protection/>
    </xf>
    <xf numFmtId="0" fontId="15" fillId="2" borderId="68" xfId="20" applyNumberFormat="1" applyFont="1" applyFill="1" applyBorder="1" applyAlignment="1" applyProtection="1">
      <alignment horizontal="left" vertical="center" wrapText="1"/>
      <protection/>
    </xf>
    <xf numFmtId="0" fontId="14" fillId="2" borderId="34" xfId="0" applyFont="1" applyFill="1" applyBorder="1" applyAlignment="1" applyProtection="1">
      <alignment horizontal="left" vertical="center" wrapText="1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0" fontId="8" fillId="2" borderId="29" xfId="20" applyNumberFormat="1" applyFont="1" applyFill="1" applyBorder="1" applyAlignment="1" applyProtection="1">
      <alignment vertical="center" wrapText="1"/>
      <protection/>
    </xf>
    <xf numFmtId="0" fontId="15" fillId="2" borderId="34" xfId="0" applyFont="1" applyFill="1" applyBorder="1" applyAlignment="1" applyProtection="1">
      <alignment horizontal="left" vertical="top" wrapText="1" indent="1"/>
      <protection/>
    </xf>
    <xf numFmtId="0" fontId="15" fillId="2" borderId="34" xfId="0" applyFont="1" applyFill="1" applyBorder="1" applyAlignment="1" applyProtection="1">
      <alignment horizontal="center" vertical="center" wrapText="1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1" fontId="15" fillId="2" borderId="34" xfId="0" applyNumberFormat="1" applyFont="1" applyFill="1" applyBorder="1" applyAlignment="1" applyProtection="1">
      <alignment horizontal="center" vertical="center" wrapText="1"/>
      <protection/>
    </xf>
    <xf numFmtId="0" fontId="15" fillId="2" borderId="34" xfId="20" applyNumberFormat="1" applyFont="1" applyFill="1" applyBorder="1" applyAlignment="1" applyProtection="1">
      <alignment horizontal="left" vertical="center" wrapText="1"/>
      <protection/>
    </xf>
    <xf numFmtId="0" fontId="19" fillId="2" borderId="10" xfId="0" applyFont="1" applyFill="1" applyBorder="1" applyAlignment="1" applyProtection="1">
      <alignment horizontal="center" vertical="center" wrapText="1"/>
      <protection/>
    </xf>
    <xf numFmtId="0" fontId="8" fillId="2" borderId="27" xfId="20" applyNumberFormat="1" applyFont="1" applyFill="1" applyBorder="1" applyAlignment="1" applyProtection="1">
      <alignment vertical="center" wrapText="1"/>
      <protection/>
    </xf>
    <xf numFmtId="0" fontId="8" fillId="2" borderId="10" xfId="20" applyNumberFormat="1" applyFont="1" applyFill="1" applyBorder="1" applyAlignment="1" applyProtection="1">
      <alignment vertical="center" wrapText="1"/>
      <protection/>
    </xf>
    <xf numFmtId="1" fontId="15" fillId="2" borderId="42" xfId="0" applyNumberFormat="1" applyFont="1" applyFill="1" applyBorder="1" applyAlignment="1" applyProtection="1">
      <alignment horizontal="center" vertical="center" wrapText="1"/>
      <protection/>
    </xf>
    <xf numFmtId="1" fontId="8" fillId="2" borderId="10" xfId="0" applyNumberFormat="1" applyFont="1" applyFill="1" applyBorder="1" applyAlignment="1" applyProtection="1">
      <alignment vertical="center" wrapText="1"/>
      <protection/>
    </xf>
    <xf numFmtId="0" fontId="15" fillId="2" borderId="50" xfId="0" applyFont="1" applyFill="1" applyBorder="1" applyAlignment="1" applyProtection="1">
      <alignment vertical="top" wrapText="1"/>
      <protection/>
    </xf>
    <xf numFmtId="1" fontId="15" fillId="2" borderId="50" xfId="0" applyNumberFormat="1" applyFont="1" applyFill="1" applyBorder="1" applyAlignment="1" applyProtection="1">
      <alignment horizontal="center" vertical="center" wrapText="1"/>
      <protection/>
    </xf>
    <xf numFmtId="1" fontId="15" fillId="2" borderId="10" xfId="0" applyNumberFormat="1" applyFont="1" applyFill="1" applyBorder="1" applyAlignment="1" applyProtection="1">
      <alignment vertical="center" wrapText="1"/>
      <protection/>
    </xf>
    <xf numFmtId="0" fontId="15" fillId="2" borderId="34" xfId="0" applyFont="1" applyFill="1" applyBorder="1" applyAlignment="1" applyProtection="1">
      <alignment vertical="top" wrapText="1"/>
      <protection/>
    </xf>
    <xf numFmtId="9" fontId="15" fillId="2" borderId="34" xfId="19" applyFont="1" applyFill="1" applyBorder="1" applyAlignment="1" applyProtection="1">
      <alignment horizontal="center" vertical="center" wrapText="1"/>
      <protection/>
    </xf>
    <xf numFmtId="0" fontId="15" fillId="2" borderId="68" xfId="0" applyFont="1" applyFill="1" applyBorder="1" applyAlignment="1" applyProtection="1">
      <alignment horizontal="center" vertical="center" wrapText="1"/>
      <protection/>
    </xf>
    <xf numFmtId="1" fontId="15" fillId="2" borderId="0" xfId="0" applyNumberFormat="1" applyFont="1" applyFill="1" applyBorder="1" applyAlignment="1" applyProtection="1">
      <alignment vertical="center" wrapText="1"/>
      <protection/>
    </xf>
    <xf numFmtId="1" fontId="15" fillId="2" borderId="34" xfId="0" applyNumberFormat="1" applyFont="1" applyFill="1" applyBorder="1" applyAlignment="1" applyProtection="1">
      <alignment vertical="center" wrapText="1"/>
      <protection/>
    </xf>
    <xf numFmtId="9" fontId="15" fillId="2" borderId="17" xfId="0" applyNumberFormat="1" applyFont="1" applyFill="1" applyBorder="1" applyAlignment="1" applyProtection="1">
      <alignment horizontal="center" vertical="center" wrapText="1"/>
      <protection/>
    </xf>
    <xf numFmtId="9" fontId="15" fillId="2" borderId="17" xfId="0" applyNumberFormat="1" applyFont="1" applyFill="1" applyBorder="1" applyAlignment="1" applyProtection="1">
      <alignment horizontal="center" vertical="center"/>
      <protection/>
    </xf>
    <xf numFmtId="1" fontId="15" fillId="2" borderId="6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20" applyNumberFormat="1" applyFont="1" applyFill="1" applyBorder="1" applyAlignment="1" applyProtection="1">
      <alignment horizontal="left" vertical="center" wrapText="1"/>
      <protection/>
    </xf>
    <xf numFmtId="1" fontId="15" fillId="2" borderId="63" xfId="0" applyNumberFormat="1" applyFont="1" applyFill="1" applyBorder="1" applyAlignment="1" applyProtection="1">
      <alignment horizontal="center" vertical="center" wrapText="1"/>
      <protection/>
    </xf>
    <xf numFmtId="1" fontId="8" fillId="2" borderId="31" xfId="0" applyNumberFormat="1" applyFont="1" applyFill="1" applyBorder="1" applyAlignment="1" applyProtection="1">
      <alignment horizontal="left" vertical="center" wrapText="1"/>
      <protection/>
    </xf>
    <xf numFmtId="0" fontId="15" fillId="2" borderId="8" xfId="0" applyFont="1" applyFill="1" applyBorder="1" applyAlignment="1" applyProtection="1">
      <alignment horizontal="center" vertical="center"/>
      <protection/>
    </xf>
    <xf numFmtId="9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9" fontId="15" fillId="4" borderId="61" xfId="0" applyNumberFormat="1" applyFont="1" applyFill="1" applyBorder="1" applyAlignment="1" applyProtection="1">
      <alignment horizontal="center" vertical="center" wrapText="1"/>
      <protection locked="0"/>
    </xf>
    <xf numFmtId="9" fontId="15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7" xfId="0" applyFont="1" applyFill="1" applyBorder="1" applyAlignment="1" applyProtection="1">
      <alignment horizontal="center" vertical="center" wrapText="1"/>
      <protection/>
    </xf>
    <xf numFmtId="0" fontId="14" fillId="2" borderId="50" xfId="0" applyFont="1" applyFill="1" applyBorder="1" applyAlignment="1" applyProtection="1">
      <alignment horizontal="center" vertical="center" wrapText="1"/>
      <protection/>
    </xf>
    <xf numFmtId="0" fontId="15" fillId="2" borderId="50" xfId="20" applyNumberFormat="1" applyFont="1" applyFill="1" applyBorder="1" applyAlignment="1" applyProtection="1">
      <alignment horizontal="left" vertical="center" wrapText="1"/>
      <protection/>
    </xf>
    <xf numFmtId="0" fontId="15" fillId="2" borderId="71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vertical="center" wrapText="1"/>
      <protection/>
    </xf>
    <xf numFmtId="0" fontId="8" fillId="2" borderId="12" xfId="20" applyNumberFormat="1" applyFont="1" applyFill="1" applyBorder="1" applyAlignment="1" applyProtection="1">
      <alignment horizontal="left" vertical="center" wrapText="1"/>
      <protection/>
    </xf>
    <xf numFmtId="0" fontId="8" fillId="2" borderId="12" xfId="0" applyFont="1" applyFill="1" applyBorder="1" applyAlignment="1" applyProtection="1">
      <alignment horizontal="left" vertical="center" wrapText="1"/>
      <protection/>
    </xf>
    <xf numFmtId="0" fontId="8" fillId="2" borderId="17" xfId="20" applyNumberFormat="1" applyFont="1" applyFill="1" applyBorder="1" applyAlignment="1" applyProtection="1">
      <alignment horizontal="left" vertical="center" wrapText="1"/>
      <protection/>
    </xf>
    <xf numFmtId="0" fontId="8" fillId="2" borderId="17" xfId="0" applyFont="1" applyFill="1" applyBorder="1" applyAlignment="1" applyProtection="1">
      <alignment horizontal="left" vertical="center" wrapText="1"/>
      <protection/>
    </xf>
    <xf numFmtId="1" fontId="15" fillId="2" borderId="72" xfId="0" applyNumberFormat="1" applyFont="1" applyFill="1" applyBorder="1" applyAlignment="1" applyProtection="1">
      <alignment horizontal="center" vertical="center" wrapText="1"/>
      <protection/>
    </xf>
    <xf numFmtId="0" fontId="8" fillId="2" borderId="15" xfId="20" applyNumberFormat="1" applyFont="1" applyFill="1" applyBorder="1" applyAlignment="1" applyProtection="1">
      <alignment horizontal="left" vertical="center" wrapText="1"/>
      <protection/>
    </xf>
    <xf numFmtId="0" fontId="8" fillId="2" borderId="15" xfId="0" applyFont="1" applyFill="1" applyBorder="1" applyAlignment="1" applyProtection="1">
      <alignment horizontal="left" vertical="center" wrapText="1"/>
      <protection/>
    </xf>
    <xf numFmtId="0" fontId="15" fillId="2" borderId="0" xfId="0" applyFont="1" applyFill="1" applyBorder="1" applyAlignment="1" applyProtection="1">
      <alignment vertical="top" wrapText="1"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27" xfId="20" applyNumberFormat="1" applyFont="1" applyFill="1" applyBorder="1" applyAlignment="1" applyProtection="1">
      <alignment horizontal="left" vertical="center" wrapText="1"/>
      <protection/>
    </xf>
    <xf numFmtId="0" fontId="15" fillId="2" borderId="27" xfId="0" applyFont="1" applyFill="1" applyBorder="1" applyAlignment="1" applyProtection="1">
      <alignment horizontal="left" vertical="center" wrapText="1"/>
      <protection/>
    </xf>
    <xf numFmtId="1" fontId="15" fillId="2" borderId="73" xfId="0" applyNumberFormat="1" applyFont="1" applyFill="1" applyBorder="1" applyAlignment="1" applyProtection="1">
      <alignment horizontal="center" vertical="center" wrapText="1"/>
      <protection/>
    </xf>
    <xf numFmtId="0" fontId="15" fillId="2" borderId="73" xfId="20" applyNumberFormat="1" applyFont="1" applyFill="1" applyBorder="1" applyAlignment="1" applyProtection="1">
      <alignment horizontal="left" vertical="center" wrapText="1"/>
      <protection/>
    </xf>
    <xf numFmtId="0" fontId="15" fillId="2" borderId="73" xfId="0" applyFont="1" applyFill="1" applyBorder="1" applyAlignment="1" applyProtection="1">
      <alignment horizontal="left" vertical="center" wrapText="1"/>
      <protection/>
    </xf>
    <xf numFmtId="0" fontId="15" fillId="2" borderId="73" xfId="0" applyFont="1" applyFill="1" applyBorder="1" applyAlignment="1" applyProtection="1">
      <alignment horizontal="center" vertical="center" wrapText="1"/>
      <protection/>
    </xf>
    <xf numFmtId="0" fontId="8" fillId="2" borderId="28" xfId="0" applyFont="1" applyFill="1" applyBorder="1" applyAlignment="1" applyProtection="1">
      <alignment horizontal="left" vertical="center" wrapText="1"/>
      <protection/>
    </xf>
    <xf numFmtId="0" fontId="8" fillId="2" borderId="29" xfId="0" applyFont="1" applyFill="1" applyBorder="1" applyAlignment="1" applyProtection="1">
      <alignment horizontal="left" vertical="center" wrapText="1"/>
      <protection/>
    </xf>
    <xf numFmtId="1" fontId="15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horizontal="left" vertical="center" wrapText="1"/>
      <protection/>
    </xf>
    <xf numFmtId="0" fontId="8" fillId="2" borderId="27" xfId="0" applyFont="1" applyFill="1" applyBorder="1" applyAlignment="1" applyProtection="1">
      <alignment horizontal="left" vertical="center" wrapText="1"/>
      <protection/>
    </xf>
    <xf numFmtId="0" fontId="15" fillId="2" borderId="0" xfId="20" applyNumberFormat="1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Border="1" applyAlignment="1" applyProtection="1">
      <alignment horizontal="left" vertical="center" wrapText="1"/>
      <protection/>
    </xf>
    <xf numFmtId="0" fontId="15" fillId="2" borderId="68" xfId="0" applyFont="1" applyFill="1" applyBorder="1" applyAlignment="1" applyProtection="1">
      <alignment horizontal="left" vertical="center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9" fillId="2" borderId="36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Alignment="1" applyProtection="1">
      <alignment wrapText="1"/>
      <protection/>
    </xf>
    <xf numFmtId="0" fontId="14" fillId="2" borderId="36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5" fillId="2" borderId="36" xfId="0" applyFont="1" applyFill="1" applyBorder="1" applyAlignment="1" applyProtection="1">
      <alignment wrapText="1"/>
      <protection/>
    </xf>
    <xf numFmtId="0" fontId="19" fillId="2" borderId="36" xfId="0" applyFont="1" applyFill="1" applyBorder="1" applyAlignment="1" applyProtection="1">
      <alignment horizontal="center" vertical="center" wrapText="1"/>
      <protection/>
    </xf>
    <xf numFmtId="0" fontId="19" fillId="2" borderId="0" xfId="0" applyFont="1" applyFill="1" applyBorder="1" applyAlignment="1" applyProtection="1">
      <alignment horizontal="center" vertical="center" wrapText="1"/>
      <protection/>
    </xf>
    <xf numFmtId="0" fontId="15" fillId="2" borderId="35" xfId="0" applyFont="1" applyFill="1" applyBorder="1" applyAlignment="1" applyProtection="1">
      <alignment horizontal="center" vertical="center" wrapText="1"/>
      <protection/>
    </xf>
    <xf numFmtId="2" fontId="15" fillId="2" borderId="64" xfId="0" applyNumberFormat="1" applyFont="1" applyFill="1" applyBorder="1" applyAlignment="1" applyProtection="1">
      <alignment horizontal="center" vertical="center" wrapText="1"/>
      <protection/>
    </xf>
    <xf numFmtId="2" fontId="15" fillId="2" borderId="65" xfId="0" applyNumberFormat="1" applyFont="1" applyFill="1" applyBorder="1" applyAlignment="1" applyProtection="1">
      <alignment horizontal="center" vertical="center" wrapText="1"/>
      <protection/>
    </xf>
    <xf numFmtId="2" fontId="15" fillId="2" borderId="67" xfId="0" applyNumberFormat="1" applyFont="1" applyFill="1" applyBorder="1" applyAlignment="1" applyProtection="1">
      <alignment horizontal="center" vertical="center" wrapText="1"/>
      <protection/>
    </xf>
    <xf numFmtId="0" fontId="15" fillId="2" borderId="10" xfId="0" applyFont="1" applyFill="1" applyBorder="1" applyAlignment="1" applyProtection="1">
      <alignment horizontal="left" vertical="center" wrapText="1"/>
      <protection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center" wrapText="1"/>
      <protection/>
    </xf>
    <xf numFmtId="0" fontId="15" fillId="2" borderId="28" xfId="0" applyFont="1" applyFill="1" applyBorder="1" applyAlignment="1" applyProtection="1">
      <alignment horizontal="left" vertical="center" wrapText="1"/>
      <protection/>
    </xf>
    <xf numFmtId="1" fontId="15" fillId="2" borderId="32" xfId="0" applyNumberFormat="1" applyFont="1" applyFill="1" applyBorder="1" applyAlignment="1" applyProtection="1">
      <alignment vertical="center" wrapText="1"/>
      <protection/>
    </xf>
    <xf numFmtId="0" fontId="15" fillId="2" borderId="29" xfId="0" applyFont="1" applyFill="1" applyBorder="1" applyAlignment="1" applyProtection="1">
      <alignment horizontal="left" vertical="center" wrapText="1"/>
      <protection/>
    </xf>
    <xf numFmtId="0" fontId="14" fillId="2" borderId="29" xfId="0" applyFont="1" applyFill="1" applyBorder="1" applyAlignment="1" applyProtection="1">
      <alignment horizontal="left" vertical="center" wrapText="1"/>
      <protection/>
    </xf>
    <xf numFmtId="0" fontId="14" fillId="2" borderId="31" xfId="0" applyFont="1" applyFill="1" applyBorder="1" applyAlignment="1" applyProtection="1">
      <alignment horizontal="left" vertical="center" wrapText="1"/>
      <protection/>
    </xf>
    <xf numFmtId="0" fontId="15" fillId="4" borderId="47" xfId="0" applyFont="1" applyFill="1" applyBorder="1" applyAlignment="1" applyProtection="1">
      <alignment horizontal="center" vertical="center" wrapText="1"/>
      <protection/>
    </xf>
    <xf numFmtId="0" fontId="15" fillId="4" borderId="48" xfId="0" applyFont="1" applyFill="1" applyBorder="1" applyAlignment="1" applyProtection="1">
      <alignment horizontal="center" vertical="center" wrapText="1"/>
      <protection/>
    </xf>
    <xf numFmtId="0" fontId="15" fillId="2" borderId="74" xfId="0" applyFont="1" applyFill="1" applyBorder="1" applyAlignment="1" applyProtection="1">
      <alignment horizontal="center" vertical="center" wrapText="1"/>
      <protection/>
    </xf>
    <xf numFmtId="1" fontId="15" fillId="2" borderId="75" xfId="0" applyNumberFormat="1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1" fontId="15" fillId="2" borderId="46" xfId="0" applyNumberFormat="1" applyFont="1" applyFill="1" applyBorder="1" applyAlignment="1" applyProtection="1">
      <alignment horizontal="center" vertical="center" wrapText="1"/>
      <protection/>
    </xf>
    <xf numFmtId="1" fontId="15" fillId="2" borderId="76" xfId="0" applyNumberFormat="1" applyFont="1" applyFill="1" applyBorder="1" applyAlignment="1" applyProtection="1">
      <alignment horizontal="center" vertical="center" wrapText="1"/>
      <protection/>
    </xf>
    <xf numFmtId="1" fontId="15" fillId="2" borderId="77" xfId="0" applyNumberFormat="1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0" fontId="15" fillId="4" borderId="78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43" xfId="0" applyFont="1" applyFill="1" applyBorder="1" applyAlignment="1" applyProtection="1">
      <alignment horizontal="center" vertical="center" wrapText="1"/>
      <protection locked="0"/>
    </xf>
    <xf numFmtId="0" fontId="15" fillId="4" borderId="7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/>
      <protection/>
    </xf>
    <xf numFmtId="0" fontId="14" fillId="2" borderId="62" xfId="0" applyFont="1" applyFill="1" applyBorder="1" applyAlignment="1" applyProtection="1">
      <alignment horizontal="center" vertical="center" wrapText="1"/>
      <protection/>
    </xf>
    <xf numFmtId="0" fontId="8" fillId="2" borderId="34" xfId="0" applyFont="1" applyFill="1" applyBorder="1" applyAlignment="1" applyProtection="1">
      <alignment horizontal="center" vertical="center" wrapText="1"/>
      <protection/>
    </xf>
    <xf numFmtId="0" fontId="15" fillId="2" borderId="50" xfId="0" applyFont="1" applyFill="1" applyBorder="1" applyAlignment="1" applyProtection="1">
      <alignment horizontal="left" vertical="center" wrapText="1"/>
      <protection/>
    </xf>
    <xf numFmtId="0" fontId="15" fillId="2" borderId="80" xfId="0" applyFont="1" applyFill="1" applyBorder="1" applyAlignment="1" applyProtection="1">
      <alignment horizontal="center" vertical="center" wrapText="1"/>
      <protection/>
    </xf>
    <xf numFmtId="0" fontId="15" fillId="2" borderId="64" xfId="0" applyFont="1" applyFill="1" applyBorder="1" applyAlignment="1" applyProtection="1">
      <alignment horizontal="center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15" fillId="2" borderId="69" xfId="0" applyFont="1" applyFill="1" applyBorder="1" applyAlignment="1" applyProtection="1">
      <alignment horizontal="center" vertical="center" wrapText="1"/>
      <protection/>
    </xf>
    <xf numFmtId="0" fontId="15" fillId="2" borderId="68" xfId="0" applyFont="1" applyFill="1" applyBorder="1" applyAlignment="1" applyProtection="1">
      <alignment horizontal="left" vertical="center" wrapText="1" indent="1"/>
      <protection/>
    </xf>
    <xf numFmtId="0" fontId="14" fillId="2" borderId="68" xfId="0" applyFont="1" applyFill="1" applyBorder="1" applyAlignment="1" applyProtection="1">
      <alignment horizontal="center" vertical="center" wrapText="1"/>
      <protection/>
    </xf>
    <xf numFmtId="0" fontId="14" fillId="4" borderId="47" xfId="0" applyFont="1" applyFill="1" applyBorder="1" applyAlignment="1" applyProtection="1">
      <alignment horizontal="center" vertical="center" wrapText="1"/>
      <protection/>
    </xf>
    <xf numFmtId="0" fontId="15" fillId="2" borderId="81" xfId="0" applyFont="1" applyFill="1" applyBorder="1" applyAlignment="1" applyProtection="1">
      <alignment horizontal="center" vertical="center" wrapText="1"/>
      <protection/>
    </xf>
    <xf numFmtId="1" fontId="15" fillId="2" borderId="82" xfId="0" applyNumberFormat="1" applyFont="1" applyFill="1" applyBorder="1" applyAlignment="1" applyProtection="1">
      <alignment horizontal="center" vertical="center" wrapText="1"/>
      <protection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83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9" fontId="15" fillId="4" borderId="84" xfId="0" applyNumberFormat="1" applyFont="1" applyFill="1" applyBorder="1" applyAlignment="1" applyProtection="1">
      <alignment horizontal="center" vertical="center" wrapText="1"/>
      <protection locked="0"/>
    </xf>
    <xf numFmtId="9" fontId="15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85" xfId="0" applyFont="1" applyFill="1" applyBorder="1" applyAlignment="1">
      <alignment vertical="center"/>
    </xf>
    <xf numFmtId="0" fontId="8" fillId="2" borderId="0" xfId="0" applyFont="1" applyFill="1" applyAlignment="1" applyProtection="1">
      <alignment horizontal="left" vertical="top" wrapText="1"/>
      <protection/>
    </xf>
    <xf numFmtId="0" fontId="8" fillId="2" borderId="36" xfId="0" applyFont="1" applyFill="1" applyBorder="1" applyAlignment="1" applyProtection="1">
      <alignment horizontal="left" vertical="top" wrapText="1"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13" fillId="2" borderId="34" xfId="0" applyFont="1" applyFill="1" applyBorder="1" applyAlignment="1" applyProtection="1">
      <alignment horizontal="center" vertical="center" wrapText="1"/>
      <protection/>
    </xf>
    <xf numFmtId="0" fontId="8" fillId="2" borderId="52" xfId="0" applyFont="1" applyFill="1" applyBorder="1" applyAlignment="1" applyProtection="1">
      <alignment horizontal="left" vertical="top" wrapText="1"/>
      <protection/>
    </xf>
    <xf numFmtId="0" fontId="17" fillId="2" borderId="62" xfId="0" applyFont="1" applyFill="1" applyBorder="1" applyAlignment="1" applyProtection="1">
      <alignment horizontal="center" vertical="center" wrapText="1"/>
      <protection/>
    </xf>
    <xf numFmtId="0" fontId="8" fillId="2" borderId="62" xfId="0" applyFont="1" applyFill="1" applyBorder="1" applyAlignment="1" applyProtection="1">
      <alignment horizontal="left" vertical="top" wrapText="1"/>
      <protection/>
    </xf>
    <xf numFmtId="0" fontId="8" fillId="2" borderId="52" xfId="0" applyFont="1" applyFill="1" applyBorder="1" applyAlignment="1" applyProtection="1">
      <alignment horizontal="center" vertical="center" wrapText="1"/>
      <protection/>
    </xf>
    <xf numFmtId="0" fontId="15" fillId="4" borderId="18" xfId="0" applyFont="1" applyFill="1" applyBorder="1" applyAlignment="1" applyProtection="1">
      <alignment horizontal="center" vertical="center" wrapText="1"/>
      <protection/>
    </xf>
    <xf numFmtId="0" fontId="15" fillId="4" borderId="5" xfId="0" applyFont="1" applyFill="1" applyBorder="1" applyAlignment="1" applyProtection="1">
      <alignment horizontal="center" vertical="center" wrapText="1"/>
      <protection/>
    </xf>
    <xf numFmtId="0" fontId="15" fillId="4" borderId="17" xfId="0" applyFont="1" applyFill="1" applyBorder="1" applyAlignment="1" applyProtection="1">
      <alignment horizontal="center" vertical="center" wrapText="1"/>
      <protection/>
    </xf>
    <xf numFmtId="0" fontId="15" fillId="4" borderId="33" xfId="0" applyFont="1" applyFill="1" applyBorder="1" applyAlignment="1" applyProtection="1">
      <alignment horizontal="center" vertical="center" wrapText="1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5" fillId="4" borderId="6" xfId="0" applyFont="1" applyFill="1" applyBorder="1" applyAlignment="1" applyProtection="1">
      <alignment horizontal="center" vertical="center" wrapText="1"/>
      <protection/>
    </xf>
    <xf numFmtId="0" fontId="15" fillId="2" borderId="86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 applyProtection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15" fillId="4" borderId="42" xfId="0" applyFont="1" applyFill="1" applyBorder="1" applyAlignment="1" applyProtection="1">
      <alignment horizontal="center" vertical="center" wrapText="1"/>
      <protection/>
    </xf>
    <xf numFmtId="0" fontId="15" fillId="4" borderId="15" xfId="0" applyFont="1" applyFill="1" applyBorder="1" applyAlignment="1" applyProtection="1">
      <alignment horizontal="center" vertical="center" wrapText="1"/>
      <protection/>
    </xf>
    <xf numFmtId="0" fontId="15" fillId="4" borderId="63" xfId="0" applyFont="1" applyFill="1" applyBorder="1" applyAlignment="1" applyProtection="1">
      <alignment horizontal="center" vertical="center" wrapText="1"/>
      <protection/>
    </xf>
    <xf numFmtId="0" fontId="15" fillId="4" borderId="8" xfId="0" applyFont="1" applyFill="1" applyBorder="1" applyAlignment="1" applyProtection="1">
      <alignment horizontal="center" vertical="center" wrapText="1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4" borderId="22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vertical="center" wrapText="1"/>
      <protection/>
    </xf>
    <xf numFmtId="0" fontId="8" fillId="2" borderId="50" xfId="0" applyFont="1" applyFill="1" applyBorder="1" applyAlignment="1" applyProtection="1">
      <alignment vertical="center" wrapText="1"/>
      <protection/>
    </xf>
    <xf numFmtId="0" fontId="8" fillId="2" borderId="0" xfId="0" applyFont="1" applyFill="1" applyBorder="1" applyAlignment="1" applyProtection="1">
      <alignment vertical="center" wrapText="1"/>
      <protection/>
    </xf>
    <xf numFmtId="0" fontId="8" fillId="2" borderId="36" xfId="0" applyFont="1" applyFill="1" applyBorder="1" applyAlignment="1" applyProtection="1">
      <alignment horizontal="center" vertical="center" wrapText="1"/>
      <protection/>
    </xf>
    <xf numFmtId="0" fontId="23" fillId="2" borderId="34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 wrapText="1"/>
      <protection/>
    </xf>
    <xf numFmtId="0" fontId="8" fillId="2" borderId="10" xfId="0" applyFont="1" applyFill="1" applyBorder="1" applyAlignment="1" applyProtection="1">
      <alignment horizontal="center" vertical="top" wrapText="1"/>
      <protection/>
    </xf>
    <xf numFmtId="0" fontId="8" fillId="2" borderId="10" xfId="0" applyFont="1" applyFill="1" applyBorder="1" applyAlignment="1" applyProtection="1">
      <alignment horizontal="left" vertical="center" wrapText="1"/>
      <protection/>
    </xf>
    <xf numFmtId="1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1" fontId="8" fillId="2" borderId="57" xfId="0" applyNumberFormat="1" applyFont="1" applyFill="1" applyBorder="1" applyAlignment="1" applyProtection="1">
      <alignment horizontal="center" vertical="center" wrapText="1"/>
      <protection/>
    </xf>
    <xf numFmtId="1" fontId="8" fillId="2" borderId="0" xfId="0" applyNumberFormat="1" applyFont="1" applyFill="1" applyBorder="1" applyAlignment="1" applyProtection="1">
      <alignment horizontal="left" vertical="top" wrapText="1"/>
      <protection/>
    </xf>
    <xf numFmtId="1" fontId="8" fillId="2" borderId="0" xfId="0" applyNumberFormat="1" applyFont="1" applyFill="1" applyAlignment="1" applyProtection="1">
      <alignment horizontal="left" vertical="top" wrapText="1"/>
      <protection/>
    </xf>
    <xf numFmtId="165" fontId="8" fillId="2" borderId="0" xfId="0" applyNumberFormat="1" applyFont="1" applyFill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0" fillId="2" borderId="52" xfId="0" applyFill="1" applyBorder="1" applyAlignment="1">
      <alignment/>
    </xf>
    <xf numFmtId="0" fontId="0" fillId="2" borderId="62" xfId="0" applyFill="1" applyBorder="1" applyAlignment="1">
      <alignment/>
    </xf>
    <xf numFmtId="0" fontId="15" fillId="2" borderId="3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34" xfId="0" applyFont="1" applyFill="1" applyBorder="1" applyAlignment="1">
      <alignment horizontal="center" vertical="top" wrapText="1"/>
    </xf>
    <xf numFmtId="0" fontId="15" fillId="2" borderId="30" xfId="0" applyFont="1" applyFill="1" applyBorder="1" applyAlignment="1">
      <alignment horizontal="center" wrapText="1"/>
    </xf>
    <xf numFmtId="0" fontId="15" fillId="2" borderId="68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0" fillId="2" borderId="34" xfId="0" applyFill="1" applyBorder="1" applyAlignment="1">
      <alignment/>
    </xf>
    <xf numFmtId="0" fontId="0" fillId="2" borderId="36" xfId="0" applyFill="1" applyBorder="1" applyAlignment="1">
      <alignment/>
    </xf>
    <xf numFmtId="1" fontId="8" fillId="2" borderId="50" xfId="0" applyNumberFormat="1" applyFont="1" applyFill="1" applyBorder="1" applyAlignment="1" applyProtection="1">
      <alignment horizontal="center" vertical="center" wrapText="1"/>
      <protection/>
    </xf>
    <xf numFmtId="0" fontId="8" fillId="2" borderId="34" xfId="0" applyFont="1" applyFill="1" applyBorder="1" applyAlignment="1" applyProtection="1">
      <alignment horizontal="left" vertical="top" wrapText="1"/>
      <protection/>
    </xf>
    <xf numFmtId="0" fontId="13" fillId="2" borderId="50" xfId="0" applyFont="1" applyFill="1" applyBorder="1" applyAlignment="1" applyProtection="1">
      <alignment horizontal="left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10" fillId="2" borderId="87" xfId="0" applyFont="1" applyFill="1" applyBorder="1" applyAlignment="1" applyProtection="1">
      <alignment horizontal="center" vertical="center" wrapText="1"/>
      <protection/>
    </xf>
    <xf numFmtId="0" fontId="9" fillId="4" borderId="88" xfId="0" applyFont="1" applyFill="1" applyBorder="1" applyAlignment="1" applyProtection="1">
      <alignment horizontal="left" vertical="center" wrapText="1" indent="1"/>
      <protection/>
    </xf>
    <xf numFmtId="0" fontId="9" fillId="4" borderId="89" xfId="0" applyFont="1" applyFill="1" applyBorder="1" applyAlignment="1" applyProtection="1">
      <alignment horizontal="left" vertical="center" wrapText="1" indent="1"/>
      <protection/>
    </xf>
    <xf numFmtId="0" fontId="14" fillId="2" borderId="63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 wrapText="1"/>
      <protection/>
    </xf>
    <xf numFmtId="1" fontId="15" fillId="2" borderId="33" xfId="0" applyNumberFormat="1" applyFont="1" applyFill="1" applyBorder="1" applyAlignment="1" applyProtection="1">
      <alignment horizontal="center" vertical="center" wrapText="1"/>
      <protection/>
    </xf>
    <xf numFmtId="1" fontId="8" fillId="2" borderId="28" xfId="0" applyNumberFormat="1" applyFont="1" applyFill="1" applyBorder="1" applyAlignment="1" applyProtection="1">
      <alignment horizontal="left" vertical="center" wrapText="1"/>
      <protection/>
    </xf>
    <xf numFmtId="1" fontId="8" fillId="2" borderId="29" xfId="0" applyNumberFormat="1" applyFont="1" applyFill="1" applyBorder="1" applyAlignment="1" applyProtection="1">
      <alignment horizontal="left" vertical="center" wrapText="1"/>
      <protection/>
    </xf>
    <xf numFmtId="0" fontId="15" fillId="2" borderId="8" xfId="0" applyFont="1" applyFill="1" applyBorder="1" applyAlignment="1" applyProtection="1">
      <alignment horizontal="center" vertical="center" wrapText="1"/>
      <protection/>
    </xf>
    <xf numFmtId="1" fontId="15" fillId="2" borderId="64" xfId="0" applyNumberFormat="1" applyFont="1" applyFill="1" applyBorder="1" applyAlignment="1" applyProtection="1">
      <alignment horizontal="center" vertical="center" wrapText="1"/>
      <protection/>
    </xf>
    <xf numFmtId="1" fontId="15" fillId="2" borderId="65" xfId="0" applyNumberFormat="1" applyFont="1" applyFill="1" applyBorder="1" applyAlignment="1" applyProtection="1">
      <alignment horizontal="center" vertical="center" wrapText="1"/>
      <protection/>
    </xf>
    <xf numFmtId="0" fontId="8" fillId="2" borderId="28" xfId="20" applyNumberFormat="1" applyFont="1" applyFill="1" applyBorder="1" applyAlignment="1" applyProtection="1">
      <alignment horizontal="left" vertical="center" wrapText="1"/>
      <protection/>
    </xf>
    <xf numFmtId="9" fontId="15" fillId="4" borderId="87" xfId="0" applyNumberFormat="1" applyFont="1" applyFill="1" applyBorder="1" applyAlignment="1" applyProtection="1">
      <alignment horizontal="center" vertical="center" wrapText="1"/>
      <protection locked="0"/>
    </xf>
    <xf numFmtId="9" fontId="15" fillId="4" borderId="84" xfId="0" applyNumberFormat="1" applyFont="1" applyFill="1" applyBorder="1" applyAlignment="1" applyProtection="1">
      <alignment horizontal="center" vertical="center" wrapText="1"/>
      <protection locked="0"/>
    </xf>
    <xf numFmtId="9" fontId="15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left" vertical="top" wrapText="1" indent="1"/>
      <protection/>
    </xf>
    <xf numFmtId="0" fontId="15" fillId="2" borderId="2" xfId="0" applyFont="1" applyFill="1" applyBorder="1" applyAlignment="1" applyProtection="1">
      <alignment horizontal="left" vertical="top" wrapText="1" indent="1"/>
      <protection/>
    </xf>
    <xf numFmtId="0" fontId="9" fillId="4" borderId="90" xfId="0" applyFont="1" applyFill="1" applyBorder="1" applyAlignment="1" applyProtection="1">
      <alignment horizontal="left" vertical="center" wrapText="1" indent="1"/>
      <protection/>
    </xf>
    <xf numFmtId="0" fontId="15" fillId="4" borderId="91" xfId="0" applyFont="1" applyFill="1" applyBorder="1" applyAlignment="1" applyProtection="1">
      <alignment horizontal="center" vertical="center" wrapText="1"/>
      <protection locked="0"/>
    </xf>
    <xf numFmtId="0" fontId="15" fillId="4" borderId="92" xfId="0" applyFont="1" applyFill="1" applyBorder="1" applyAlignment="1" applyProtection="1">
      <alignment horizontal="center" vertical="center" wrapText="1"/>
      <protection locked="0"/>
    </xf>
    <xf numFmtId="1" fontId="15" fillId="2" borderId="24" xfId="0" applyNumberFormat="1" applyFont="1" applyFill="1" applyBorder="1" applyAlignment="1" applyProtection="1">
      <alignment horizontal="center" vertical="center" wrapText="1"/>
      <protection/>
    </xf>
    <xf numFmtId="1" fontId="15" fillId="2" borderId="93" xfId="0" applyNumberFormat="1" applyFont="1" applyFill="1" applyBorder="1" applyAlignment="1" applyProtection="1">
      <alignment horizontal="center" vertical="center" wrapText="1"/>
      <protection/>
    </xf>
    <xf numFmtId="9" fontId="15" fillId="2" borderId="49" xfId="19" applyFont="1" applyFill="1" applyBorder="1" applyAlignment="1" applyProtection="1">
      <alignment horizontal="center" vertical="center" wrapText="1"/>
      <protection/>
    </xf>
    <xf numFmtId="9" fontId="15" fillId="2" borderId="45" xfId="19" applyFont="1" applyFill="1" applyBorder="1" applyAlignment="1" applyProtection="1">
      <alignment horizontal="center" vertical="center" wrapText="1"/>
      <protection/>
    </xf>
    <xf numFmtId="0" fontId="15" fillId="2" borderId="60" xfId="0" applyFont="1" applyFill="1" applyBorder="1" applyAlignment="1" applyProtection="1">
      <alignment horizontal="left" vertical="center" wrapText="1" indent="1"/>
      <protection/>
    </xf>
    <xf numFmtId="0" fontId="13" fillId="4" borderId="90" xfId="0" applyFont="1" applyFill="1" applyBorder="1" applyAlignment="1" applyProtection="1">
      <alignment horizontal="center" vertical="center" wrapText="1"/>
      <protection/>
    </xf>
    <xf numFmtId="0" fontId="14" fillId="4" borderId="88" xfId="0" applyFont="1" applyFill="1" applyBorder="1" applyAlignment="1" applyProtection="1">
      <alignment horizontal="center" vertical="center" wrapText="1"/>
      <protection/>
    </xf>
    <xf numFmtId="0" fontId="14" fillId="4" borderId="90" xfId="0" applyFont="1" applyFill="1" applyBorder="1" applyAlignment="1" applyProtection="1">
      <alignment horizontal="left" vertical="center" wrapText="1" indent="1"/>
      <protection/>
    </xf>
    <xf numFmtId="0" fontId="14" fillId="4" borderId="88" xfId="0" applyFont="1" applyFill="1" applyBorder="1" applyAlignment="1" applyProtection="1">
      <alignment horizontal="left" vertical="center" wrapText="1" indent="1"/>
      <protection/>
    </xf>
    <xf numFmtId="0" fontId="14" fillId="4" borderId="89" xfId="0" applyFont="1" applyFill="1" applyBorder="1" applyAlignment="1" applyProtection="1">
      <alignment horizontal="left" vertical="center" wrapText="1" indent="1"/>
      <protection/>
    </xf>
    <xf numFmtId="0" fontId="8" fillId="2" borderId="29" xfId="20" applyNumberFormat="1" applyFont="1" applyFill="1" applyBorder="1" applyAlignment="1" applyProtection="1">
      <alignment horizontal="left" vertical="center" wrapText="1"/>
      <protection/>
    </xf>
    <xf numFmtId="1" fontId="15" fillId="2" borderId="32" xfId="0" applyNumberFormat="1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left" vertical="center" wrapText="1" indent="1"/>
      <protection/>
    </xf>
    <xf numFmtId="0" fontId="15" fillId="2" borderId="94" xfId="0" applyFont="1" applyFill="1" applyBorder="1" applyAlignment="1" applyProtection="1">
      <alignment horizontal="left" vertical="center" wrapText="1" indent="1"/>
      <protection/>
    </xf>
    <xf numFmtId="0" fontId="15" fillId="2" borderId="28" xfId="0" applyFont="1" applyFill="1" applyBorder="1" applyAlignment="1" applyProtection="1">
      <alignment horizontal="left" vertical="center" wrapText="1" indent="1"/>
      <protection/>
    </xf>
    <xf numFmtId="0" fontId="15" fillId="2" borderId="0" xfId="0" applyFont="1" applyFill="1" applyBorder="1" applyAlignment="1" applyProtection="1">
      <alignment horizontal="left" vertical="center" wrapText="1" indent="1"/>
      <protection/>
    </xf>
    <xf numFmtId="0" fontId="15" fillId="2" borderId="10" xfId="0" applyFont="1" applyFill="1" applyBorder="1" applyAlignment="1" applyProtection="1">
      <alignment horizontal="left" vertical="center" wrapText="1" indent="1"/>
      <protection/>
    </xf>
    <xf numFmtId="0" fontId="15" fillId="2" borderId="27" xfId="0" applyFont="1" applyFill="1" applyBorder="1" applyAlignment="1" applyProtection="1">
      <alignment horizontal="left" vertical="center" wrapText="1" indent="1"/>
      <protection/>
    </xf>
    <xf numFmtId="0" fontId="15" fillId="2" borderId="24" xfId="0" applyFont="1" applyFill="1" applyBorder="1" applyAlignment="1" applyProtection="1">
      <alignment horizontal="center" vertical="center" wrapText="1"/>
      <protection/>
    </xf>
    <xf numFmtId="0" fontId="15" fillId="2" borderId="43" xfId="0" applyFont="1" applyFill="1" applyBorder="1" applyAlignment="1" applyProtection="1">
      <alignment horizontal="center" vertical="center" wrapText="1"/>
      <protection/>
    </xf>
    <xf numFmtId="0" fontId="15" fillId="2" borderId="41" xfId="0" applyFont="1" applyFill="1" applyBorder="1" applyAlignment="1" applyProtection="1">
      <alignment horizontal="center" vertical="center" wrapText="1"/>
      <protection/>
    </xf>
    <xf numFmtId="0" fontId="14" fillId="4" borderId="95" xfId="0" applyFont="1" applyFill="1" applyBorder="1" applyAlignment="1" applyProtection="1">
      <alignment horizontal="left" vertical="center" wrapText="1" indent="1"/>
      <protection/>
    </xf>
    <xf numFmtId="0" fontId="14" fillId="4" borderId="96" xfId="0" applyFont="1" applyFill="1" applyBorder="1" applyAlignment="1" applyProtection="1">
      <alignment horizontal="left" vertical="center" wrapText="1" indent="1"/>
      <protection/>
    </xf>
    <xf numFmtId="0" fontId="14" fillId="4" borderId="97" xfId="0" applyFont="1" applyFill="1" applyBorder="1" applyAlignment="1" applyProtection="1">
      <alignment horizontal="left" vertical="center" wrapText="1" indent="1"/>
      <protection/>
    </xf>
    <xf numFmtId="0" fontId="8" fillId="2" borderId="50" xfId="0" applyFont="1" applyFill="1" applyBorder="1" applyAlignment="1" applyProtection="1">
      <alignment horizontal="center" wrapText="1"/>
      <protection/>
    </xf>
    <xf numFmtId="0" fontId="15" fillId="2" borderId="33" xfId="0" applyFont="1" applyFill="1" applyBorder="1" applyAlignment="1" applyProtection="1">
      <alignment horizontal="left" vertical="center" wrapText="1" indent="1"/>
      <protection/>
    </xf>
    <xf numFmtId="0" fontId="15" fillId="2" borderId="29" xfId="0" applyFont="1" applyFill="1" applyBorder="1" applyAlignment="1" applyProtection="1">
      <alignment horizontal="left" vertical="center" wrapText="1" indent="1"/>
      <protection/>
    </xf>
    <xf numFmtId="0" fontId="0" fillId="0" borderId="29" xfId="0" applyBorder="1" applyAlignment="1" applyProtection="1">
      <alignment horizontal="left" vertical="center" wrapText="1" indent="1"/>
      <protection/>
    </xf>
    <xf numFmtId="0" fontId="15" fillId="2" borderId="13" xfId="0" applyFont="1" applyFill="1" applyBorder="1" applyAlignment="1" applyProtection="1">
      <alignment horizontal="left" vertical="center" wrapText="1" indent="1"/>
      <protection/>
    </xf>
    <xf numFmtId="0" fontId="15" fillId="2" borderId="40" xfId="0" applyFont="1" applyFill="1" applyBorder="1" applyAlignment="1" applyProtection="1">
      <alignment horizontal="center" vertical="center" wrapText="1"/>
      <protection/>
    </xf>
    <xf numFmtId="0" fontId="15" fillId="2" borderId="16" xfId="0" applyFont="1" applyFill="1" applyBorder="1" applyAlignment="1" applyProtection="1">
      <alignment horizontal="center" vertical="center" wrapText="1"/>
      <protection/>
    </xf>
    <xf numFmtId="0" fontId="15" fillId="2" borderId="98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0" fontId="15" fillId="2" borderId="99" xfId="0" applyFont="1" applyFill="1" applyBorder="1" applyAlignment="1" applyProtection="1">
      <alignment horizontal="center" vertical="center" wrapText="1"/>
      <protection/>
    </xf>
    <xf numFmtId="0" fontId="15" fillId="2" borderId="39" xfId="0" applyFont="1" applyFill="1" applyBorder="1" applyAlignment="1" applyProtection="1">
      <alignment horizontal="center" vertical="center" wrapText="1"/>
      <protection/>
    </xf>
    <xf numFmtId="1" fontId="15" fillId="2" borderId="40" xfId="0" applyNumberFormat="1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5" fillId="2" borderId="29" xfId="0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3" fillId="3" borderId="90" xfId="0" applyFont="1" applyFill="1" applyBorder="1" applyAlignment="1" applyProtection="1">
      <alignment horizontal="left" vertical="center" wrapText="1" indent="1"/>
      <protection/>
    </xf>
    <xf numFmtId="0" fontId="13" fillId="3" borderId="88" xfId="0" applyFont="1" applyFill="1" applyBorder="1" applyAlignment="1" applyProtection="1">
      <alignment horizontal="left" vertical="center" wrapText="1" indent="1"/>
      <protection/>
    </xf>
    <xf numFmtId="0" fontId="13" fillId="3" borderId="89" xfId="0" applyFont="1" applyFill="1" applyBorder="1" applyAlignment="1" applyProtection="1">
      <alignment horizontal="left" vertical="center" wrapText="1" indent="1"/>
      <protection/>
    </xf>
    <xf numFmtId="0" fontId="14" fillId="2" borderId="47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5" fillId="2" borderId="38" xfId="0" applyFont="1" applyFill="1" applyBorder="1" applyAlignment="1" applyProtection="1">
      <alignment horizontal="center" vertical="center" wrapText="1"/>
      <protection/>
    </xf>
    <xf numFmtId="0" fontId="15" fillId="2" borderId="100" xfId="0" applyFont="1" applyFill="1" applyBorder="1" applyAlignment="1" applyProtection="1">
      <alignment horizontal="center" vertical="center" wrapText="1"/>
      <protection/>
    </xf>
    <xf numFmtId="174" fontId="15" fillId="2" borderId="15" xfId="0" applyNumberFormat="1" applyFont="1" applyFill="1" applyBorder="1" applyAlignment="1" applyProtection="1">
      <alignment horizontal="center" vertical="center" wrapText="1"/>
      <protection/>
    </xf>
    <xf numFmtId="174" fontId="15" fillId="2" borderId="8" xfId="0" applyNumberFormat="1" applyFont="1" applyFill="1" applyBorder="1" applyAlignment="1" applyProtection="1">
      <alignment horizontal="center" vertical="center" wrapText="1"/>
      <protection/>
    </xf>
    <xf numFmtId="1" fontId="15" fillId="2" borderId="17" xfId="0" applyNumberFormat="1" applyFont="1" applyFill="1" applyBorder="1" applyAlignment="1" applyProtection="1">
      <alignment horizontal="center" vertical="center" wrapText="1"/>
      <protection/>
    </xf>
    <xf numFmtId="1" fontId="15" fillId="2" borderId="6" xfId="0" applyNumberFormat="1" applyFont="1" applyFill="1" applyBorder="1" applyAlignment="1" applyProtection="1">
      <alignment horizontal="center" vertical="center" wrapText="1"/>
      <protection/>
    </xf>
    <xf numFmtId="1" fontId="15" fillId="2" borderId="12" xfId="0" applyNumberFormat="1" applyFont="1" applyFill="1" applyBorder="1" applyAlignment="1" applyProtection="1">
      <alignment horizontal="center" vertical="center" wrapText="1"/>
      <protection/>
    </xf>
    <xf numFmtId="1" fontId="15" fillId="2" borderId="38" xfId="0" applyNumberFormat="1" applyFont="1" applyFill="1" applyBorder="1" applyAlignment="1" applyProtection="1">
      <alignment horizontal="center" vertical="center" wrapText="1"/>
      <protection/>
    </xf>
    <xf numFmtId="0" fontId="15" fillId="2" borderId="25" xfId="0" applyFont="1" applyFill="1" applyBorder="1" applyAlignment="1" applyProtection="1">
      <alignment horizontal="center" vertical="center" wrapText="1"/>
      <protection/>
    </xf>
    <xf numFmtId="0" fontId="15" fillId="2" borderId="31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center"/>
      <protection/>
    </xf>
    <xf numFmtId="0" fontId="15" fillId="2" borderId="28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101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44" xfId="0" applyFont="1" applyFill="1" applyBorder="1" applyAlignment="1" applyProtection="1">
      <alignment horizontal="center" vertical="center" wrapText="1"/>
      <protection/>
    </xf>
    <xf numFmtId="0" fontId="15" fillId="2" borderId="6" xfId="0" applyFont="1" applyFill="1" applyBorder="1" applyAlignment="1" applyProtection="1">
      <alignment horizontal="center" vertical="center" wrapText="1"/>
      <protection/>
    </xf>
    <xf numFmtId="0" fontId="10" fillId="4" borderId="90" xfId="0" applyFont="1" applyFill="1" applyBorder="1" applyAlignment="1">
      <alignment horizontal="left" vertical="center" indent="1"/>
    </xf>
    <xf numFmtId="0" fontId="10" fillId="4" borderId="88" xfId="0" applyFont="1" applyFill="1" applyBorder="1" applyAlignment="1">
      <alignment horizontal="left" vertical="center" indent="1"/>
    </xf>
    <xf numFmtId="0" fontId="10" fillId="4" borderId="89" xfId="0" applyFont="1" applyFill="1" applyBorder="1" applyAlignment="1">
      <alignment horizontal="left" vertical="center" indent="1"/>
    </xf>
    <xf numFmtId="0" fontId="9" fillId="2" borderId="90" xfId="0" applyFont="1" applyFill="1" applyBorder="1" applyAlignment="1">
      <alignment horizontal="left" vertical="center" indent="1"/>
    </xf>
    <xf numFmtId="0" fontId="9" fillId="2" borderId="88" xfId="0" applyFont="1" applyFill="1" applyBorder="1" applyAlignment="1">
      <alignment horizontal="left" vertical="center" indent="1"/>
    </xf>
    <xf numFmtId="0" fontId="9" fillId="2" borderId="89" xfId="0" applyFont="1" applyFill="1" applyBorder="1" applyAlignment="1">
      <alignment horizontal="left" vertical="center" indent="1"/>
    </xf>
    <xf numFmtId="0" fontId="9" fillId="6" borderId="102" xfId="0" applyFont="1" applyFill="1" applyBorder="1" applyAlignment="1">
      <alignment horizontal="center" vertical="center" wrapText="1"/>
    </xf>
    <xf numFmtId="0" fontId="9" fillId="6" borderId="103" xfId="0" applyFont="1" applyFill="1" applyBorder="1" applyAlignment="1">
      <alignment horizontal="center" vertical="center" wrapText="1"/>
    </xf>
    <xf numFmtId="0" fontId="9" fillId="6" borderId="104" xfId="0" applyFont="1" applyFill="1" applyBorder="1" applyAlignment="1">
      <alignment horizontal="center" vertical="center" wrapText="1"/>
    </xf>
    <xf numFmtId="0" fontId="10" fillId="4" borderId="90" xfId="0" applyFont="1" applyFill="1" applyBorder="1" applyAlignment="1">
      <alignment horizontal="center" vertical="center"/>
    </xf>
    <xf numFmtId="0" fontId="10" fillId="4" borderId="88" xfId="0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0" fontId="10" fillId="0" borderId="105" xfId="0" applyFont="1" applyFill="1" applyBorder="1" applyAlignment="1" applyProtection="1">
      <alignment horizontal="center" vertical="center"/>
      <protection locked="0"/>
    </xf>
    <xf numFmtId="0" fontId="10" fillId="0" borderId="106" xfId="0" applyFont="1" applyFill="1" applyBorder="1" applyAlignment="1" applyProtection="1">
      <alignment horizontal="center" vertical="center"/>
      <protection locked="0"/>
    </xf>
    <xf numFmtId="0" fontId="10" fillId="0" borderId="10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60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textRotation="90"/>
      <protection/>
    </xf>
    <xf numFmtId="0" fontId="14" fillId="2" borderId="29" xfId="0" applyFont="1" applyFill="1" applyBorder="1" applyAlignment="1" applyProtection="1">
      <alignment horizontal="center" vertical="center" textRotation="90"/>
      <protection/>
    </xf>
    <xf numFmtId="0" fontId="14" fillId="2" borderId="31" xfId="0" applyFont="1" applyFill="1" applyBorder="1" applyAlignment="1" applyProtection="1">
      <alignment horizontal="center" vertical="center" textRotation="90"/>
      <protection/>
    </xf>
    <xf numFmtId="0" fontId="14" fillId="2" borderId="28" xfId="0" applyFont="1" applyFill="1" applyBorder="1" applyAlignment="1" applyProtection="1">
      <alignment horizontal="center" vertical="center" textRotation="90" wrapText="1"/>
      <protection/>
    </xf>
    <xf numFmtId="0" fontId="14" fillId="2" borderId="29" xfId="0" applyFont="1" applyFill="1" applyBorder="1" applyAlignment="1" applyProtection="1">
      <alignment horizontal="center" vertical="center" textRotation="90" wrapText="1"/>
      <protection/>
    </xf>
    <xf numFmtId="0" fontId="14" fillId="2" borderId="31" xfId="0" applyFont="1" applyFill="1" applyBorder="1" applyAlignment="1" applyProtection="1">
      <alignment horizontal="center" vertical="center" textRotation="90" wrapText="1"/>
      <protection/>
    </xf>
    <xf numFmtId="0" fontId="14" fillId="2" borderId="15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left" vertical="top" wrapText="1" indent="1"/>
      <protection/>
    </xf>
    <xf numFmtId="0" fontId="15" fillId="2" borderId="1" xfId="0" applyFont="1" applyFill="1" applyBorder="1" applyAlignment="1" applyProtection="1">
      <alignment horizontal="left" vertical="top" wrapText="1" indent="1"/>
      <protection/>
    </xf>
    <xf numFmtId="0" fontId="15" fillId="2" borderId="56" xfId="0" applyFont="1" applyFill="1" applyBorder="1" applyAlignment="1" applyProtection="1">
      <alignment horizontal="left" vertical="top" wrapText="1" indent="1"/>
      <protection/>
    </xf>
    <xf numFmtId="0" fontId="15" fillId="2" borderId="13" xfId="0" applyFont="1" applyFill="1" applyBorder="1" applyAlignment="1" applyProtection="1">
      <alignment horizontal="left" vertical="top" wrapText="1" indent="1"/>
      <protection/>
    </xf>
    <xf numFmtId="0" fontId="15" fillId="2" borderId="17" xfId="0" applyFont="1" applyFill="1" applyBorder="1" applyAlignment="1" applyProtection="1">
      <alignment horizontal="left" vertical="top" wrapText="1" indent="1"/>
      <protection/>
    </xf>
    <xf numFmtId="0" fontId="15" fillId="2" borderId="15" xfId="0" applyFont="1" applyFill="1" applyBorder="1" applyAlignment="1" applyProtection="1">
      <alignment horizontal="left" vertical="top" wrapText="1" indent="1"/>
      <protection/>
    </xf>
    <xf numFmtId="0" fontId="15" fillId="2" borderId="12" xfId="0" applyFont="1" applyFill="1" applyBorder="1" applyAlignment="1" applyProtection="1">
      <alignment horizontal="left" vertical="top" wrapText="1" indent="1"/>
      <protection/>
    </xf>
    <xf numFmtId="0" fontId="15" fillId="2" borderId="28" xfId="0" applyFont="1" applyFill="1" applyBorder="1" applyAlignment="1" applyProtection="1">
      <alignment horizontal="left" vertical="top" wrapText="1" indent="1"/>
      <protection/>
    </xf>
    <xf numFmtId="0" fontId="15" fillId="2" borderId="29" xfId="0" applyFont="1" applyFill="1" applyBorder="1" applyAlignment="1" applyProtection="1">
      <alignment horizontal="left" vertical="top" wrapText="1" indent="1"/>
      <protection/>
    </xf>
    <xf numFmtId="0" fontId="15" fillId="2" borderId="31" xfId="0" applyFont="1" applyFill="1" applyBorder="1" applyAlignment="1" applyProtection="1">
      <alignment horizontal="left" vertical="top" wrapText="1" indent="1"/>
      <protection/>
    </xf>
    <xf numFmtId="0" fontId="13" fillId="4" borderId="88" xfId="0" applyFont="1" applyFill="1" applyBorder="1" applyAlignment="1" applyProtection="1">
      <alignment horizontal="center" vertical="center" wrapText="1"/>
      <protection/>
    </xf>
    <xf numFmtId="0" fontId="13" fillId="4" borderId="89" xfId="0" applyFont="1" applyFill="1" applyBorder="1" applyAlignment="1" applyProtection="1">
      <alignment horizontal="center" vertical="center" wrapText="1"/>
      <protection/>
    </xf>
    <xf numFmtId="0" fontId="15" fillId="2" borderId="44" xfId="0" applyFont="1" applyFill="1" applyBorder="1" applyAlignment="1" applyProtection="1">
      <alignment horizontal="center" vertical="center" wrapText="1"/>
      <protection/>
    </xf>
    <xf numFmtId="0" fontId="17" fillId="2" borderId="3" xfId="0" applyFont="1" applyFill="1" applyBorder="1" applyAlignment="1" applyProtection="1">
      <alignment horizontal="center" vertical="center" wrapText="1"/>
      <protection/>
    </xf>
    <xf numFmtId="0" fontId="17" fillId="2" borderId="83" xfId="0" applyFont="1" applyFill="1" applyBorder="1" applyAlignment="1" applyProtection="1">
      <alignment horizontal="center" vertical="center" wrapText="1"/>
      <protection/>
    </xf>
    <xf numFmtId="0" fontId="17" fillId="2" borderId="108" xfId="0" applyFont="1" applyFill="1" applyBorder="1" applyAlignment="1" applyProtection="1">
      <alignment horizontal="center" vertical="center" wrapText="1"/>
      <protection/>
    </xf>
    <xf numFmtId="0" fontId="17" fillId="2" borderId="4" xfId="0" applyFont="1" applyFill="1" applyBorder="1" applyAlignment="1" applyProtection="1">
      <alignment horizontal="center" vertical="center" wrapText="1"/>
      <protection/>
    </xf>
    <xf numFmtId="0" fontId="14" fillId="2" borderId="50" xfId="0" applyFont="1" applyFill="1" applyBorder="1" applyAlignment="1" applyProtection="1">
      <alignment horizontal="center" vertical="center"/>
      <protection/>
    </xf>
    <xf numFmtId="0" fontId="14" fillId="2" borderId="34" xfId="0" applyFont="1" applyFill="1" applyBorder="1" applyAlignment="1" applyProtection="1">
      <alignment horizontal="center" vertical="center"/>
      <protection/>
    </xf>
    <xf numFmtId="0" fontId="15" fillId="2" borderId="109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left" vertical="top" wrapText="1" indent="1"/>
      <protection/>
    </xf>
    <xf numFmtId="0" fontId="15" fillId="2" borderId="10" xfId="0" applyFont="1" applyFill="1" applyBorder="1" applyAlignment="1" applyProtection="1">
      <alignment horizontal="left" vertical="top" wrapText="1" indent="1"/>
      <protection/>
    </xf>
    <xf numFmtId="0" fontId="15" fillId="2" borderId="34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9" fillId="4" borderId="90" xfId="0" applyFont="1" applyFill="1" applyBorder="1" applyAlignment="1" applyProtection="1">
      <alignment horizontal="left" vertical="center" wrapText="1"/>
      <protection/>
    </xf>
    <xf numFmtId="0" fontId="9" fillId="4" borderId="88" xfId="0" applyFont="1" applyFill="1" applyBorder="1" applyAlignment="1" applyProtection="1">
      <alignment horizontal="left" vertical="center" wrapText="1"/>
      <protection/>
    </xf>
    <xf numFmtId="0" fontId="9" fillId="4" borderId="89" xfId="0" applyFont="1" applyFill="1" applyBorder="1" applyAlignment="1" applyProtection="1">
      <alignment horizontal="left" vertical="center" wrapText="1"/>
      <protection/>
    </xf>
    <xf numFmtId="0" fontId="9" fillId="4" borderId="90" xfId="0" applyFont="1" applyFill="1" applyBorder="1" applyAlignment="1" applyProtection="1">
      <alignment horizontal="center" vertical="center" wrapText="1"/>
      <protection/>
    </xf>
    <xf numFmtId="0" fontId="9" fillId="4" borderId="88" xfId="0" applyFont="1" applyFill="1" applyBorder="1" applyAlignment="1" applyProtection="1">
      <alignment horizontal="center" vertical="center" wrapText="1"/>
      <protection/>
    </xf>
    <xf numFmtId="0" fontId="9" fillId="4" borderId="89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top" wrapText="1"/>
      <protection/>
    </xf>
    <xf numFmtId="0" fontId="15" fillId="2" borderId="1" xfId="0" applyFont="1" applyFill="1" applyBorder="1" applyAlignment="1" applyProtection="1">
      <alignment horizontal="center" vertical="top" wrapText="1"/>
      <protection/>
    </xf>
    <xf numFmtId="0" fontId="15" fillId="2" borderId="13" xfId="0" applyFont="1" applyFill="1" applyBorder="1" applyAlignment="1" applyProtection="1">
      <alignment horizontal="center" vertical="top" wrapText="1"/>
      <protection/>
    </xf>
    <xf numFmtId="0" fontId="15" fillId="2" borderId="2" xfId="0" applyFont="1" applyFill="1" applyBorder="1" applyAlignment="1" applyProtection="1">
      <alignment horizontal="center" vertical="top" wrapText="1"/>
      <protection/>
    </xf>
    <xf numFmtId="0" fontId="8" fillId="2" borderId="16" xfId="0" applyFont="1" applyFill="1" applyBorder="1" applyAlignment="1" applyProtection="1">
      <alignment horizontal="center" vertical="center" wrapText="1"/>
      <protection/>
    </xf>
    <xf numFmtId="0" fontId="8" fillId="2" borderId="44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left" vertical="top" wrapText="1" indent="1" readingOrder="1"/>
      <protection/>
    </xf>
    <xf numFmtId="0" fontId="15" fillId="2" borderId="1" xfId="0" applyFont="1" applyFill="1" applyBorder="1" applyAlignment="1" applyProtection="1">
      <alignment horizontal="left" vertical="top" wrapText="1" indent="1" readingOrder="1"/>
      <protection/>
    </xf>
    <xf numFmtId="1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22" fillId="0" borderId="88" xfId="0" applyFont="1" applyBorder="1" applyAlignment="1" applyProtection="1">
      <alignment/>
      <protection/>
    </xf>
    <xf numFmtId="0" fontId="22" fillId="0" borderId="89" xfId="0" applyFont="1" applyBorder="1" applyAlignment="1" applyProtection="1">
      <alignment/>
      <protection/>
    </xf>
    <xf numFmtId="0" fontId="15" fillId="2" borderId="7" xfId="0" applyFont="1" applyFill="1" applyBorder="1" applyAlignment="1" applyProtection="1">
      <alignment horizontal="center" vertical="center" wrapText="1"/>
      <protection/>
    </xf>
    <xf numFmtId="0" fontId="15" fillId="2" borderId="88" xfId="0" applyFont="1" applyFill="1" applyBorder="1" applyAlignment="1" applyProtection="1">
      <alignment horizontal="center" vertical="center" wrapText="1"/>
      <protection/>
    </xf>
    <xf numFmtId="0" fontId="15" fillId="2" borderId="89" xfId="0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>
      <alignment horizontal="center" vertical="center" wrapText="1"/>
      <protection/>
    </xf>
    <xf numFmtId="0" fontId="10" fillId="2" borderId="83" xfId="0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0" fontId="15" fillId="2" borderId="37" xfId="0" applyFont="1" applyFill="1" applyBorder="1" applyAlignment="1" applyProtection="1">
      <alignment horizontal="center" vertical="center" wrapText="1"/>
      <protection/>
    </xf>
    <xf numFmtId="0" fontId="15" fillId="2" borderId="90" xfId="0" applyFont="1" applyFill="1" applyBorder="1" applyAlignment="1" applyProtection="1">
      <alignment horizontal="center" vertical="center" wrapText="1"/>
      <protection/>
    </xf>
    <xf numFmtId="0" fontId="15" fillId="2" borderId="35" xfId="0" applyFont="1" applyFill="1" applyBorder="1" applyAlignment="1" applyProtection="1">
      <alignment horizontal="center" vertical="center" wrapText="1"/>
      <protection/>
    </xf>
    <xf numFmtId="0" fontId="15" fillId="2" borderId="12" xfId="0" applyFont="1" applyFill="1" applyBorder="1" applyAlignment="1" applyProtection="1">
      <alignment horizontal="center" vertical="center" wrapText="1"/>
      <protection/>
    </xf>
    <xf numFmtId="0" fontId="10" fillId="2" borderId="110" xfId="0" applyFont="1" applyFill="1" applyBorder="1" applyAlignment="1" applyProtection="1">
      <alignment horizontal="center" vertical="center" wrapText="1"/>
      <protection/>
    </xf>
    <xf numFmtId="0" fontId="10" fillId="2" borderId="111" xfId="0" applyFont="1" applyFill="1" applyBorder="1" applyAlignment="1" applyProtection="1">
      <alignment horizontal="center" vertical="center" wrapText="1"/>
      <protection/>
    </xf>
    <xf numFmtId="0" fontId="10" fillId="2" borderId="112" xfId="0" applyFont="1" applyFill="1" applyBorder="1" applyAlignment="1" applyProtection="1">
      <alignment horizontal="center" vertical="center" wrapText="1"/>
      <protection/>
    </xf>
    <xf numFmtId="1" fontId="15" fillId="2" borderId="34" xfId="0" applyNumberFormat="1" applyFont="1" applyFill="1" applyBorder="1" applyAlignment="1" applyProtection="1">
      <alignment horizontal="center" vertical="center" wrapText="1"/>
      <protection/>
    </xf>
    <xf numFmtId="1" fontId="15" fillId="2" borderId="74" xfId="0" applyNumberFormat="1" applyFont="1" applyFill="1" applyBorder="1" applyAlignment="1" applyProtection="1">
      <alignment horizontal="center" vertical="center" wrapText="1"/>
      <protection/>
    </xf>
    <xf numFmtId="1" fontId="15" fillId="2" borderId="73" xfId="0" applyNumberFormat="1" applyFont="1" applyFill="1" applyBorder="1" applyAlignment="1" applyProtection="1">
      <alignment horizontal="center" vertical="center" wrapText="1"/>
      <protection/>
    </xf>
    <xf numFmtId="1" fontId="15" fillId="2" borderId="94" xfId="0" applyNumberFormat="1" applyFont="1" applyFill="1" applyBorder="1" applyAlignment="1" applyProtection="1">
      <alignment horizontal="center" vertical="center" wrapText="1"/>
      <protection/>
    </xf>
    <xf numFmtId="1" fontId="15" fillId="2" borderId="60" xfId="0" applyNumberFormat="1" applyFont="1" applyFill="1" applyBorder="1" applyAlignment="1" applyProtection="1">
      <alignment horizontal="center" vertical="center" wrapText="1"/>
      <protection/>
    </xf>
    <xf numFmtId="1" fontId="15" fillId="2" borderId="29" xfId="0" applyNumberFormat="1" applyFont="1" applyFill="1" applyBorder="1" applyAlignment="1" applyProtection="1">
      <alignment horizontal="center" vertical="center" wrapText="1"/>
      <protection/>
    </xf>
    <xf numFmtId="1" fontId="15" fillId="2" borderId="30" xfId="0" applyNumberFormat="1" applyFont="1" applyFill="1" applyBorder="1" applyAlignment="1" applyProtection="1">
      <alignment horizontal="center" vertical="center" wrapText="1"/>
      <protection/>
    </xf>
    <xf numFmtId="1" fontId="15" fillId="2" borderId="31" xfId="0" applyNumberFormat="1" applyFont="1" applyFill="1" applyBorder="1" applyAlignment="1" applyProtection="1">
      <alignment horizontal="center" vertical="center" wrapText="1"/>
      <protection/>
    </xf>
    <xf numFmtId="0" fontId="15" fillId="2" borderId="52" xfId="0" applyFont="1" applyFill="1" applyBorder="1" applyAlignment="1" applyProtection="1">
      <alignment horizontal="center" wrapText="1"/>
      <protection/>
    </xf>
    <xf numFmtId="0" fontId="15" fillId="4" borderId="88" xfId="0" applyFont="1" applyFill="1" applyBorder="1" applyAlignment="1" applyProtection="1">
      <alignment horizontal="center" vertical="center" wrapText="1"/>
      <protection/>
    </xf>
    <xf numFmtId="0" fontId="15" fillId="2" borderId="113" xfId="0" applyFont="1" applyFill="1" applyBorder="1" applyAlignment="1" applyProtection="1">
      <alignment horizontal="center" wrapText="1"/>
      <protection/>
    </xf>
    <xf numFmtId="0" fontId="15" fillId="2" borderId="17" xfId="0" applyFont="1" applyFill="1" applyBorder="1" applyAlignment="1" applyProtection="1">
      <alignment horizontal="center" wrapText="1"/>
      <protection/>
    </xf>
    <xf numFmtId="0" fontId="15" fillId="2" borderId="114" xfId="0" applyFont="1" applyFill="1" applyBorder="1" applyAlignment="1" applyProtection="1">
      <alignment horizontal="center" wrapText="1"/>
      <protection/>
    </xf>
    <xf numFmtId="0" fontId="15" fillId="2" borderId="15" xfId="0" applyFont="1" applyFill="1" applyBorder="1" applyAlignment="1" applyProtection="1">
      <alignment horizontal="center" wrapText="1"/>
      <protection/>
    </xf>
    <xf numFmtId="1" fontId="15" fillId="2" borderId="15" xfId="0" applyNumberFormat="1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 wrapText="1"/>
      <protection/>
    </xf>
    <xf numFmtId="1" fontId="15" fillId="2" borderId="0" xfId="0" applyNumberFormat="1" applyFont="1" applyFill="1" applyBorder="1" applyAlignment="1" applyProtection="1">
      <alignment horizontal="center" vertical="center" wrapText="1"/>
      <protection/>
    </xf>
    <xf numFmtId="1" fontId="15" fillId="2" borderId="115" xfId="0" applyNumberFormat="1" applyFont="1" applyFill="1" applyBorder="1" applyAlignment="1" applyProtection="1">
      <alignment horizontal="center" vertical="center" wrapText="1"/>
      <protection/>
    </xf>
    <xf numFmtId="0" fontId="17" fillId="4" borderId="90" xfId="0" applyFont="1" applyFill="1" applyBorder="1" applyAlignment="1" applyProtection="1">
      <alignment horizontal="center" vertical="center" wrapText="1"/>
      <protection/>
    </xf>
    <xf numFmtId="0" fontId="17" fillId="4" borderId="88" xfId="0" applyFont="1" applyFill="1" applyBorder="1" applyAlignment="1" applyProtection="1">
      <alignment horizontal="center" vertical="center" wrapText="1"/>
      <protection/>
    </xf>
    <xf numFmtId="0" fontId="17" fillId="4" borderId="89" xfId="0" applyFont="1" applyFill="1" applyBorder="1" applyAlignment="1" applyProtection="1">
      <alignment horizontal="center" vertical="center" wrapText="1"/>
      <protection/>
    </xf>
    <xf numFmtId="0" fontId="15" fillId="2" borderId="83" xfId="0" applyFont="1" applyFill="1" applyBorder="1" applyAlignment="1" applyProtection="1">
      <alignment horizontal="center" vertical="center" wrapText="1"/>
      <protection/>
    </xf>
    <xf numFmtId="0" fontId="15" fillId="2" borderId="3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1" fontId="15" fillId="2" borderId="2" xfId="0" applyNumberFormat="1" applyFont="1" applyFill="1" applyBorder="1" applyAlignment="1" applyProtection="1">
      <alignment horizontal="center" vertical="center" wrapText="1"/>
      <protection/>
    </xf>
    <xf numFmtId="0" fontId="15" fillId="2" borderId="60" xfId="0" applyFont="1" applyFill="1" applyBorder="1" applyAlignment="1" applyProtection="1">
      <alignment horizontal="left" vertical="center" wrapText="1"/>
      <protection/>
    </xf>
    <xf numFmtId="0" fontId="15" fillId="2" borderId="43" xfId="0" applyFont="1" applyFill="1" applyBorder="1" applyAlignment="1" applyProtection="1">
      <alignment horizontal="left" vertical="center" wrapText="1"/>
      <protection/>
    </xf>
    <xf numFmtId="0" fontId="15" fillId="2" borderId="10" xfId="0" applyFont="1" applyFill="1" applyBorder="1" applyAlignment="1" applyProtection="1">
      <alignment horizontal="left" vertical="center" wrapText="1"/>
      <protection/>
    </xf>
    <xf numFmtId="0" fontId="15" fillId="2" borderId="45" xfId="0" applyFont="1" applyFill="1" applyBorder="1" applyAlignment="1" applyProtection="1">
      <alignment horizontal="left" vertical="center" wrapText="1"/>
      <protection/>
    </xf>
    <xf numFmtId="0" fontId="15" fillId="4" borderId="37" xfId="0" applyFont="1" applyFill="1" applyBorder="1" applyAlignment="1" applyProtection="1">
      <alignment horizontal="center" vertical="center" wrapText="1"/>
      <protection/>
    </xf>
    <xf numFmtId="0" fontId="15" fillId="4" borderId="35" xfId="0" applyFont="1" applyFill="1" applyBorder="1" applyAlignment="1" applyProtection="1">
      <alignment horizontal="center" vertical="center" wrapText="1"/>
      <protection/>
    </xf>
    <xf numFmtId="0" fontId="15" fillId="2" borderId="116" xfId="0" applyFont="1" applyFill="1" applyBorder="1" applyAlignment="1" applyProtection="1">
      <alignment horizontal="left" vertical="center" wrapText="1" indent="1"/>
      <protection/>
    </xf>
    <xf numFmtId="0" fontId="15" fillId="2" borderId="41" xfId="0" applyFont="1" applyFill="1" applyBorder="1" applyAlignment="1" applyProtection="1">
      <alignment horizontal="left" vertical="center" wrapText="1" indent="1"/>
      <protection/>
    </xf>
    <xf numFmtId="0" fontId="15" fillId="2" borderId="24" xfId="0" applyFont="1" applyFill="1" applyBorder="1" applyAlignment="1" applyProtection="1">
      <alignment horizontal="left" vertical="center" wrapText="1" indent="1"/>
      <protection/>
    </xf>
    <xf numFmtId="0" fontId="15" fillId="2" borderId="43" xfId="0" applyFont="1" applyFill="1" applyBorder="1" applyAlignment="1" applyProtection="1">
      <alignment horizontal="left" vertical="center" wrapText="1" indent="1"/>
      <protection/>
    </xf>
    <xf numFmtId="0" fontId="15" fillId="2" borderId="25" xfId="0" applyFont="1" applyFill="1" applyBorder="1" applyAlignment="1" applyProtection="1">
      <alignment horizontal="left" vertical="center" wrapText="1" indent="1"/>
      <protection/>
    </xf>
    <xf numFmtId="0" fontId="10" fillId="4" borderId="90" xfId="0" applyFont="1" applyFill="1" applyBorder="1" applyAlignment="1" applyProtection="1">
      <alignment horizontal="center" vertical="center" wrapText="1"/>
      <protection/>
    </xf>
    <xf numFmtId="0" fontId="10" fillId="4" borderId="88" xfId="0" applyFont="1" applyFill="1" applyBorder="1" applyAlignment="1" applyProtection="1">
      <alignment horizontal="center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5" fillId="2" borderId="79" xfId="0" applyFont="1" applyFill="1" applyBorder="1" applyAlignment="1" applyProtection="1">
      <alignment horizontal="left" vertical="center" wrapText="1" indent="1"/>
      <protection/>
    </xf>
    <xf numFmtId="0" fontId="15" fillId="2" borderId="93" xfId="0" applyFont="1" applyFill="1" applyBorder="1" applyAlignment="1" applyProtection="1">
      <alignment horizontal="left" vertical="center" wrapText="1" indent="1"/>
      <protection/>
    </xf>
    <xf numFmtId="0" fontId="15" fillId="2" borderId="27" xfId="0" applyFont="1" applyFill="1" applyBorder="1" applyAlignment="1" applyProtection="1">
      <alignment horizontal="center" vertical="center" wrapText="1"/>
      <protection/>
    </xf>
    <xf numFmtId="0" fontId="15" fillId="2" borderId="27" xfId="0" applyFont="1" applyFill="1" applyBorder="1" applyAlignment="1" applyProtection="1">
      <alignment horizontal="left" vertical="center" wrapText="1"/>
      <protection/>
    </xf>
    <xf numFmtId="0" fontId="15" fillId="2" borderId="41" xfId="0" applyFont="1" applyFill="1" applyBorder="1" applyAlignment="1" applyProtection="1">
      <alignment horizontal="left" vertical="center" wrapText="1"/>
      <protection/>
    </xf>
    <xf numFmtId="0" fontId="15" fillId="2" borderId="30" xfId="0" applyFont="1" applyFill="1" applyBorder="1" applyAlignment="1" applyProtection="1">
      <alignment horizontal="center" vertical="center" wrapText="1"/>
      <protection/>
    </xf>
    <xf numFmtId="0" fontId="15" fillId="2" borderId="30" xfId="0" applyFont="1" applyFill="1" applyBorder="1" applyAlignment="1" applyProtection="1">
      <alignment horizontal="left" vertical="center" wrapText="1" indent="1"/>
      <protection/>
    </xf>
    <xf numFmtId="0" fontId="8" fillId="2" borderId="15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0" fillId="4" borderId="83" xfId="0" applyFont="1" applyFill="1" applyBorder="1" applyAlignment="1" applyProtection="1">
      <alignment horizontal="center" vertical="center" wrapText="1"/>
      <protection/>
    </xf>
    <xf numFmtId="0" fontId="10" fillId="4" borderId="4" xfId="0" applyFont="1" applyFill="1" applyBorder="1" applyAlignment="1" applyProtection="1">
      <alignment horizontal="center" vertical="center" wrapText="1"/>
      <protection/>
    </xf>
    <xf numFmtId="0" fontId="15" fillId="2" borderId="30" xfId="0" applyFont="1" applyFill="1" applyBorder="1" applyAlignment="1" applyProtection="1">
      <alignment horizontal="left" vertical="center" wrapText="1"/>
      <protection/>
    </xf>
    <xf numFmtId="0" fontId="15" fillId="2" borderId="79" xfId="0" applyFont="1" applyFill="1" applyBorder="1" applyAlignment="1" applyProtection="1">
      <alignment horizontal="left" vertical="center" wrapText="1"/>
      <protection/>
    </xf>
    <xf numFmtId="1" fontId="15" fillId="2" borderId="42" xfId="0" applyNumberFormat="1" applyFont="1" applyFill="1" applyBorder="1" applyAlignment="1" applyProtection="1">
      <alignment horizontal="center" vertical="center" wrapText="1"/>
      <protection/>
    </xf>
    <xf numFmtId="1" fontId="15" fillId="2" borderId="10" xfId="0" applyNumberFormat="1" applyFont="1" applyFill="1" applyBorder="1" applyAlignment="1" applyProtection="1">
      <alignment horizontal="center" vertical="center" wrapText="1"/>
      <protection/>
    </xf>
    <xf numFmtId="1" fontId="15" fillId="2" borderId="117" xfId="0" applyNumberFormat="1" applyFont="1" applyFill="1" applyBorder="1" applyAlignment="1" applyProtection="1">
      <alignment horizontal="center" vertical="center" wrapText="1"/>
      <protection/>
    </xf>
    <xf numFmtId="0" fontId="10" fillId="2" borderId="90" xfId="0" applyFont="1" applyFill="1" applyBorder="1" applyAlignment="1" applyProtection="1">
      <alignment horizontal="center" vertical="center" wrapText="1"/>
      <protection/>
    </xf>
    <xf numFmtId="0" fontId="10" fillId="2" borderId="88" xfId="0" applyFont="1" applyFill="1" applyBorder="1" applyAlignment="1" applyProtection="1">
      <alignment horizontal="center" vertical="center" wrapText="1"/>
      <protection/>
    </xf>
    <xf numFmtId="0" fontId="10" fillId="2" borderId="89" xfId="0" applyFont="1" applyFill="1" applyBorder="1" applyAlignment="1" applyProtection="1">
      <alignment horizontal="center" vertical="center" wrapText="1"/>
      <protection/>
    </xf>
    <xf numFmtId="1" fontId="15" fillId="2" borderId="100" xfId="0" applyNumberFormat="1" applyFont="1" applyFill="1" applyBorder="1" applyAlignment="1" applyProtection="1">
      <alignment horizontal="center" vertical="center" wrapText="1"/>
      <protection/>
    </xf>
    <xf numFmtId="1" fontId="15" fillId="2" borderId="52" xfId="0" applyNumberFormat="1" applyFont="1" applyFill="1" applyBorder="1" applyAlignment="1" applyProtection="1">
      <alignment horizontal="center" vertical="center" wrapText="1"/>
      <protection/>
    </xf>
    <xf numFmtId="0" fontId="15" fillId="2" borderId="33" xfId="0" applyFont="1" applyFill="1" applyBorder="1" applyAlignment="1" applyProtection="1">
      <alignment horizontal="center" vertical="center" wrapText="1"/>
      <protection/>
    </xf>
    <xf numFmtId="1" fontId="15" fillId="2" borderId="28" xfId="0" applyNumberFormat="1" applyFont="1" applyFill="1" applyBorder="1" applyAlignment="1" applyProtection="1">
      <alignment horizontal="center" vertical="center" wrapText="1"/>
      <protection/>
    </xf>
    <xf numFmtId="1" fontId="15" fillId="2" borderId="63" xfId="0" applyNumberFormat="1" applyFont="1" applyFill="1" applyBorder="1" applyAlignment="1" applyProtection="1">
      <alignment horizontal="center" vertical="center" wrapText="1"/>
      <protection/>
    </xf>
    <xf numFmtId="0" fontId="15" fillId="2" borderId="63" xfId="0" applyFont="1" applyFill="1" applyBorder="1" applyAlignment="1" applyProtection="1">
      <alignment horizontal="center" vertical="center" wrapText="1"/>
      <protection/>
    </xf>
    <xf numFmtId="0" fontId="15" fillId="2" borderId="34" xfId="0" applyFont="1" applyFill="1" applyBorder="1" applyAlignment="1" applyProtection="1">
      <alignment horizontal="center" wrapText="1"/>
      <protection/>
    </xf>
    <xf numFmtId="0" fontId="15" fillId="2" borderId="5" xfId="0" applyFont="1" applyFill="1" applyBorder="1" applyAlignment="1" applyProtection="1">
      <alignment horizontal="center" wrapText="1"/>
      <protection/>
    </xf>
    <xf numFmtId="0" fontId="15" fillId="2" borderId="7" xfId="0" applyFont="1" applyFill="1" applyBorder="1" applyAlignment="1" applyProtection="1">
      <alignment horizontal="center" wrapText="1"/>
      <protection/>
    </xf>
    <xf numFmtId="0" fontId="10" fillId="4" borderId="20" xfId="0" applyFont="1" applyFill="1" applyBorder="1" applyAlignment="1" applyProtection="1">
      <alignment horizontal="center" vertical="center" wrapText="1"/>
      <protection/>
    </xf>
    <xf numFmtId="1" fontId="15" fillId="2" borderId="118" xfId="0" applyNumberFormat="1" applyFont="1" applyFill="1" applyBorder="1" applyAlignment="1" applyProtection="1">
      <alignment horizontal="center" vertical="center" wrapText="1"/>
      <protection/>
    </xf>
    <xf numFmtId="0" fontId="15" fillId="2" borderId="5" xfId="0" applyFont="1" applyFill="1" applyBorder="1" applyAlignment="1" applyProtection="1">
      <alignment horizontal="center" vertical="center" wrapText="1"/>
      <protection/>
    </xf>
    <xf numFmtId="0" fontId="15" fillId="2" borderId="119" xfId="0" applyFont="1" applyFill="1" applyBorder="1" applyAlignment="1" applyProtection="1">
      <alignment horizontal="center" wrapText="1"/>
      <protection/>
    </xf>
    <xf numFmtId="0" fontId="15" fillId="2" borderId="120" xfId="0" applyFont="1" applyFill="1" applyBorder="1" applyAlignment="1" applyProtection="1">
      <alignment horizontal="center" wrapText="1"/>
      <protection/>
    </xf>
    <xf numFmtId="0" fontId="15" fillId="2" borderId="12" xfId="0" applyFont="1" applyFill="1" applyBorder="1" applyAlignment="1" applyProtection="1">
      <alignment horizontal="left" vertical="center" wrapText="1" indent="1"/>
      <protection/>
    </xf>
    <xf numFmtId="0" fontId="15" fillId="2" borderId="31" xfId="0" applyFont="1" applyFill="1" applyBorder="1" applyAlignment="1" applyProtection="1">
      <alignment horizontal="left" vertical="center" wrapText="1" indent="1"/>
      <protection/>
    </xf>
    <xf numFmtId="0" fontId="15" fillId="2" borderId="15" xfId="0" applyFont="1" applyFill="1" applyBorder="1" applyAlignment="1" applyProtection="1">
      <alignment horizontal="left" vertical="center" wrapText="1" indent="1"/>
      <protection/>
    </xf>
    <xf numFmtId="0" fontId="15" fillId="2" borderId="121" xfId="0" applyFont="1" applyFill="1" applyBorder="1" applyAlignment="1" applyProtection="1">
      <alignment horizontal="center" vertical="center" wrapText="1"/>
      <protection/>
    </xf>
    <xf numFmtId="0" fontId="15" fillId="2" borderId="32" xfId="0" applyFont="1" applyFill="1" applyBorder="1" applyAlignment="1" applyProtection="1">
      <alignment horizontal="left" vertical="center" wrapText="1" indent="1"/>
      <protection/>
    </xf>
    <xf numFmtId="0" fontId="15" fillId="2" borderId="122" xfId="0" applyFont="1" applyFill="1" applyBorder="1" applyAlignment="1" applyProtection="1">
      <alignment horizontal="center" vertical="center" wrapText="1"/>
      <protection/>
    </xf>
    <xf numFmtId="0" fontId="15" fillId="2" borderId="80" xfId="0" applyFont="1" applyFill="1" applyBorder="1" applyAlignment="1" applyProtection="1">
      <alignment horizontal="center" vertical="center" wrapText="1"/>
      <protection/>
    </xf>
    <xf numFmtId="0" fontId="15" fillId="2" borderId="123" xfId="0" applyFont="1" applyFill="1" applyBorder="1" applyAlignment="1" applyProtection="1">
      <alignment horizontal="center" vertical="center" wrapText="1"/>
      <protection/>
    </xf>
    <xf numFmtId="0" fontId="15" fillId="2" borderId="63" xfId="0" applyFont="1" applyFill="1" applyBorder="1" applyAlignment="1" applyProtection="1">
      <alignment horizontal="left" vertical="center" wrapText="1" indent="1"/>
      <protection/>
    </xf>
    <xf numFmtId="1" fontId="15" fillId="2" borderId="45" xfId="0" applyNumberFormat="1" applyFont="1" applyFill="1" applyBorder="1" applyAlignment="1" applyProtection="1">
      <alignment horizontal="center" vertical="center" wrapText="1"/>
      <protection/>
    </xf>
    <xf numFmtId="1" fontId="15" fillId="2" borderId="71" xfId="0" applyNumberFormat="1" applyFont="1" applyFill="1" applyBorder="1" applyAlignment="1" applyProtection="1">
      <alignment horizontal="center" vertical="center" wrapText="1"/>
      <protection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16" xfId="0" applyFont="1" applyFill="1" applyBorder="1" applyAlignment="1" applyProtection="1">
      <alignment horizontal="center" vertical="center" wrapText="1"/>
      <protection locked="0"/>
    </xf>
    <xf numFmtId="0" fontId="15" fillId="4" borderId="44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124" xfId="0" applyFont="1" applyFill="1" applyBorder="1" applyAlignment="1" applyProtection="1">
      <alignment horizontal="center" vertical="center" wrapText="1"/>
      <protection/>
    </xf>
    <xf numFmtId="1" fontId="15" fillId="2" borderId="125" xfId="0" applyNumberFormat="1" applyFont="1" applyFill="1" applyBorder="1" applyAlignment="1" applyProtection="1">
      <alignment horizontal="center" vertical="center" wrapText="1"/>
      <protection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68" xfId="0" applyFont="1" applyFill="1" applyBorder="1" applyAlignment="1" applyProtection="1">
      <alignment horizontal="center" vertical="center" wrapText="1"/>
      <protection/>
    </xf>
    <xf numFmtId="0" fontId="15" fillId="2" borderId="126" xfId="0" applyFont="1" applyFill="1" applyBorder="1" applyAlignment="1" applyProtection="1">
      <alignment horizontal="left" vertical="center" wrapText="1"/>
      <protection/>
    </xf>
    <xf numFmtId="0" fontId="15" fillId="4" borderId="127" xfId="0" applyFont="1" applyFill="1" applyBorder="1" applyAlignment="1" applyProtection="1">
      <alignment horizontal="center" vertical="center" wrapText="1"/>
      <protection locked="0"/>
    </xf>
    <xf numFmtId="0" fontId="15" fillId="4" borderId="5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/>
    </xf>
    <xf numFmtId="0" fontId="15" fillId="2" borderId="49" xfId="0" applyFont="1" applyFill="1" applyBorder="1" applyAlignment="1" applyProtection="1">
      <alignment horizontal="center" vertical="center" wrapText="1"/>
      <protection/>
    </xf>
    <xf numFmtId="0" fontId="15" fillId="2" borderId="45" xfId="0" applyFont="1" applyFill="1" applyBorder="1" applyAlignment="1" applyProtection="1">
      <alignment horizontal="center" vertical="center" wrapText="1"/>
      <protection/>
    </xf>
    <xf numFmtId="1" fontId="15" fillId="2" borderId="124" xfId="0" applyNumberFormat="1" applyFont="1" applyFill="1" applyBorder="1" applyAlignment="1" applyProtection="1">
      <alignment horizontal="center" vertical="center" wrapText="1"/>
      <protection/>
    </xf>
    <xf numFmtId="0" fontId="15" fillId="2" borderId="128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left" vertical="center" wrapText="1"/>
      <protection/>
    </xf>
    <xf numFmtId="0" fontId="15" fillId="2" borderId="124" xfId="0" applyFont="1" applyFill="1" applyBorder="1" applyAlignment="1" applyProtection="1">
      <alignment horizontal="left" vertical="center" wrapText="1"/>
      <protection/>
    </xf>
    <xf numFmtId="0" fontId="13" fillId="4" borderId="90" xfId="0" applyFont="1" applyFill="1" applyBorder="1" applyAlignment="1" applyProtection="1">
      <alignment horizontal="left" vertical="center" wrapText="1"/>
      <protection/>
    </xf>
    <xf numFmtId="0" fontId="13" fillId="4" borderId="88" xfId="0" applyFont="1" applyFill="1" applyBorder="1" applyAlignment="1" applyProtection="1">
      <alignment horizontal="left" vertical="center" wrapText="1"/>
      <protection/>
    </xf>
    <xf numFmtId="0" fontId="13" fillId="4" borderId="89" xfId="0" applyFont="1" applyFill="1" applyBorder="1" applyAlignment="1" applyProtection="1">
      <alignment horizontal="left" vertical="center" wrapText="1"/>
      <protection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15" fillId="4" borderId="42" xfId="0" applyFont="1" applyFill="1" applyBorder="1" applyAlignment="1" applyProtection="1">
      <alignment horizontal="center" vertical="center" wrapText="1"/>
      <protection locked="0"/>
    </xf>
    <xf numFmtId="0" fontId="15" fillId="4" borderId="59" xfId="0" applyFont="1" applyFill="1" applyBorder="1" applyAlignment="1" applyProtection="1">
      <alignment horizontal="center" vertical="center" wrapText="1"/>
      <protection locked="0"/>
    </xf>
    <xf numFmtId="1" fontId="15" fillId="2" borderId="129" xfId="0" applyNumberFormat="1" applyFont="1" applyFill="1" applyBorder="1" applyAlignment="1" applyProtection="1">
      <alignment horizontal="center" vertical="center" wrapText="1"/>
      <protection/>
    </xf>
    <xf numFmtId="1" fontId="15" fillId="2" borderId="81" xfId="0" applyNumberFormat="1" applyFont="1" applyFill="1" applyBorder="1" applyAlignment="1" applyProtection="1">
      <alignment horizontal="center" vertical="center" wrapText="1"/>
      <protection/>
    </xf>
    <xf numFmtId="0" fontId="15" fillId="4" borderId="130" xfId="0" applyFont="1" applyFill="1" applyBorder="1" applyAlignment="1" applyProtection="1">
      <alignment horizontal="center" vertical="center" wrapText="1"/>
      <protection locked="0"/>
    </xf>
    <xf numFmtId="0" fontId="15" fillId="2" borderId="73" xfId="0" applyFont="1" applyFill="1" applyBorder="1" applyAlignment="1" applyProtection="1">
      <alignment horizontal="center" vertical="center" wrapText="1"/>
      <protection/>
    </xf>
    <xf numFmtId="0" fontId="15" fillId="2" borderId="55" xfId="0" applyFont="1" applyFill="1" applyBorder="1" applyAlignment="1" applyProtection="1">
      <alignment horizontal="center" vertical="center" wrapText="1"/>
      <protection/>
    </xf>
    <xf numFmtId="0" fontId="15" fillId="2" borderId="31" xfId="0" applyFont="1" applyFill="1" applyBorder="1" applyAlignment="1" applyProtection="1">
      <alignment horizontal="left" vertical="center" wrapText="1"/>
      <protection/>
    </xf>
    <xf numFmtId="0" fontId="15" fillId="4" borderId="131" xfId="0" applyFont="1" applyFill="1" applyBorder="1" applyAlignment="1" applyProtection="1">
      <alignment horizontal="center" vertical="center" wrapText="1"/>
      <protection locked="0"/>
    </xf>
    <xf numFmtId="0" fontId="15" fillId="4" borderId="132" xfId="0" applyFont="1" applyFill="1" applyBorder="1" applyAlignment="1" applyProtection="1">
      <alignment horizontal="center" vertical="center" wrapText="1"/>
      <protection locked="0"/>
    </xf>
    <xf numFmtId="0" fontId="15" fillId="2" borderId="81" xfId="0" applyFont="1" applyFill="1" applyBorder="1" applyAlignment="1" applyProtection="1">
      <alignment horizontal="center" vertical="center" wrapText="1"/>
      <protection/>
    </xf>
    <xf numFmtId="0" fontId="15" fillId="2" borderId="133" xfId="0" applyFont="1" applyFill="1" applyBorder="1" applyAlignment="1" applyProtection="1">
      <alignment horizontal="center" vertical="center" wrapText="1"/>
      <protection/>
    </xf>
    <xf numFmtId="0" fontId="15" fillId="2" borderId="81" xfId="0" applyFont="1" applyFill="1" applyBorder="1" applyAlignment="1" applyProtection="1">
      <alignment horizontal="left" vertical="center" wrapText="1"/>
      <protection/>
    </xf>
    <xf numFmtId="0" fontId="15" fillId="2" borderId="134" xfId="0" applyFont="1" applyFill="1" applyBorder="1" applyAlignment="1" applyProtection="1">
      <alignment horizontal="center" vertical="center" wrapText="1"/>
      <protection/>
    </xf>
    <xf numFmtId="0" fontId="15" fillId="2" borderId="129" xfId="0" applyFont="1" applyFill="1" applyBorder="1" applyAlignment="1" applyProtection="1">
      <alignment horizontal="left" vertical="center" wrapText="1"/>
      <protection/>
    </xf>
    <xf numFmtId="0" fontId="15" fillId="4" borderId="135" xfId="0" applyFont="1" applyFill="1" applyBorder="1" applyAlignment="1" applyProtection="1">
      <alignment horizontal="center" vertical="center" wrapText="1"/>
      <protection locked="0"/>
    </xf>
    <xf numFmtId="9" fontId="15" fillId="2" borderId="2" xfId="19" applyFont="1" applyFill="1" applyBorder="1" applyAlignment="1" applyProtection="1">
      <alignment horizontal="center" vertical="center" wrapText="1"/>
      <protection/>
    </xf>
    <xf numFmtId="9" fontId="15" fillId="2" borderId="124" xfId="19" applyFont="1" applyFill="1" applyBorder="1" applyAlignment="1" applyProtection="1">
      <alignment horizontal="center" vertical="center" wrapText="1"/>
      <protection/>
    </xf>
    <xf numFmtId="0" fontId="15" fillId="2" borderId="74" xfId="0" applyFont="1" applyFill="1" applyBorder="1" applyAlignment="1" applyProtection="1">
      <alignment horizontal="center" vertical="center" wrapText="1"/>
      <protection/>
    </xf>
    <xf numFmtId="9" fontId="15" fillId="2" borderId="81" xfId="19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 applyProtection="1">
      <alignment/>
      <protection/>
    </xf>
    <xf numFmtId="0" fontId="17" fillId="4" borderId="136" xfId="0" applyFont="1" applyFill="1" applyBorder="1" applyAlignment="1" applyProtection="1">
      <alignment horizontal="center" vertical="center" wrapText="1"/>
      <protection/>
    </xf>
    <xf numFmtId="0" fontId="17" fillId="4" borderId="137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7" fillId="4" borderId="49" xfId="0" applyFont="1" applyFill="1" applyBorder="1" applyAlignment="1" applyProtection="1">
      <alignment horizontal="center" vertical="center" wrapText="1"/>
      <protection/>
    </xf>
    <xf numFmtId="0" fontId="17" fillId="4" borderId="10" xfId="0" applyFont="1" applyFill="1" applyBorder="1" applyAlignment="1" applyProtection="1">
      <alignment horizontal="center" vertical="center" wrapText="1"/>
      <protection/>
    </xf>
    <xf numFmtId="0" fontId="17" fillId="4" borderId="45" xfId="0" applyFont="1" applyFill="1" applyBorder="1" applyAlignment="1" applyProtection="1">
      <alignment horizontal="center" vertical="center" wrapText="1"/>
      <protection/>
    </xf>
    <xf numFmtId="0" fontId="17" fillId="4" borderId="138" xfId="0" applyFont="1" applyFill="1" applyBorder="1" applyAlignment="1" applyProtection="1">
      <alignment horizontal="center" vertical="center" wrapText="1"/>
      <protection/>
    </xf>
    <xf numFmtId="0" fontId="17" fillId="4" borderId="91" xfId="0" applyFont="1" applyFill="1" applyBorder="1" applyAlignment="1" applyProtection="1">
      <alignment horizontal="center" vertical="center" wrapText="1"/>
      <protection/>
    </xf>
    <xf numFmtId="0" fontId="15" fillId="4" borderId="87" xfId="0" applyFont="1" applyFill="1" applyBorder="1" applyAlignment="1" applyProtection="1">
      <alignment horizontal="center" vertical="center" wrapText="1"/>
      <protection/>
    </xf>
    <xf numFmtId="0" fontId="15" fillId="4" borderId="84" xfId="0" applyFont="1" applyFill="1" applyBorder="1" applyAlignment="1" applyProtection="1">
      <alignment horizontal="center" vertical="center" wrapText="1"/>
      <protection/>
    </xf>
    <xf numFmtId="0" fontId="15" fillId="4" borderId="73" xfId="0" applyFont="1" applyFill="1" applyBorder="1" applyAlignment="1" applyProtection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15" fillId="4" borderId="18" xfId="0" applyFont="1" applyFill="1" applyBorder="1" applyAlignment="1" applyProtection="1">
      <alignment horizontal="center" vertical="center" wrapText="1"/>
      <protection/>
    </xf>
    <xf numFmtId="0" fontId="15" fillId="4" borderId="42" xfId="0" applyFont="1" applyFill="1" applyBorder="1" applyAlignment="1" applyProtection="1">
      <alignment horizontal="center" vertical="center" wrapText="1"/>
      <protection/>
    </xf>
    <xf numFmtId="0" fontId="15" fillId="4" borderId="55" xfId="0" applyFont="1" applyFill="1" applyBorder="1" applyAlignment="1" applyProtection="1">
      <alignment horizontal="center" vertical="center" wrapText="1"/>
      <protection/>
    </xf>
    <xf numFmtId="0" fontId="15" fillId="4" borderId="45" xfId="0" applyFont="1" applyFill="1" applyBorder="1" applyAlignment="1" applyProtection="1">
      <alignment horizontal="center" vertical="center" wrapText="1"/>
      <protection/>
    </xf>
    <xf numFmtId="0" fontId="15" fillId="4" borderId="139" xfId="0" applyFont="1" applyFill="1" applyBorder="1" applyAlignment="1" applyProtection="1">
      <alignment horizontal="center" vertical="center" wrapText="1"/>
      <protection/>
    </xf>
    <xf numFmtId="0" fontId="15" fillId="4" borderId="43" xfId="0" applyFont="1" applyFill="1" applyBorder="1" applyAlignment="1" applyProtection="1">
      <alignment horizontal="center" vertical="center" wrapText="1"/>
      <protection/>
    </xf>
    <xf numFmtId="0" fontId="15" fillId="2" borderId="49" xfId="0" applyFont="1" applyFill="1" applyBorder="1" applyAlignment="1">
      <alignment horizontal="left" vertical="center" wrapText="1"/>
    </xf>
    <xf numFmtId="0" fontId="15" fillId="2" borderId="45" xfId="0" applyFont="1" applyFill="1" applyBorder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 wrapText="1"/>
    </xf>
  </cellXfs>
  <cellStyles count="9">
    <cellStyle name="Normal" xfId="0"/>
    <cellStyle name="ColLevel_0" xfId="2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USUÁRIOS QUE FIZERAM ESCOVAÇÃO SUPERVISIONADA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Monitoramento!$I$74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Monitoramento!$K$74:$V$74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Monitoramento!$I$75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Monitoramento!$K$75:$V$75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243613"/>
        <c:axId val="4539334"/>
      </c:lineChart>
      <c:catAx>
        <c:axId val="4524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USUÁRIOS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4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USUÁRIOS QUE RECEBERAM ESCOVA E DENTIFRÍCIO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Monitoramento!$I$77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Monitoramento!$K$77:$V$77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Monitoramento!$I$78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Monitoramento!$K$78:$V$78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854007"/>
        <c:axId val="32141744"/>
      </c:lineChart>
      <c:catAx>
        <c:axId val="4085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USUÁRIOS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4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AVALIAÇÕES DE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Monitoramento!$I$80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Monitoramento!$K$80:$V$80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Monitoramento!$I$81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Monitoramento!$K$81:$V$81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840241"/>
        <c:axId val="53344442"/>
      </c:lineChart>
      <c:catAx>
        <c:axId val="208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AVALIAÇÕES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40241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PRIMEIRAS CONSULTAS PROGRAMÁTICAS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925"/>
          <c:w val="0.6835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Monitoramento!$I$83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Monitoramento!$K$83:$V$83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Monitoramento!$I$84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Monitoramento!$K$84:$V$84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337931"/>
        <c:axId val="25932516"/>
      </c:lineChart>
      <c:catAx>
        <c:axId val="103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PRIMEIRAS 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37931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PROCEDIMENTOS INDIVIDUAIS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Monitoramento!$I$86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Monitoramento!$K$86:$V$86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Monitoramento!$I$87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Monitoramento!$K$87:$V$87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066053"/>
        <c:axId val="20159022"/>
      </c:lineChart>
      <c:catAx>
        <c:axId val="3206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59022"/>
        <c:crosses val="autoZero"/>
        <c:auto val="1"/>
        <c:lblOffset val="100"/>
        <c:noMultiLvlLbl val="0"/>
      </c:catAx>
      <c:valAx>
        <c:axId val="2015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PROCEDIMENTOS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66053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457200</xdr:colOff>
      <xdr:row>1</xdr:row>
      <xdr:rowOff>19050</xdr:rowOff>
    </xdr:from>
    <xdr:to>
      <xdr:col>18</xdr:col>
      <xdr:colOff>247650</xdr:colOff>
      <xdr:row>1</xdr:row>
      <xdr:rowOff>552450</xdr:rowOff>
    </xdr:to>
    <xdr:pic>
      <xdr:nvPicPr>
        <xdr:cNvPr id="1" name="Picture 9" descr="marca planejamento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769" b="17308"/>
        <a:stretch>
          <a:fillRect/>
        </a:stretch>
      </xdr:blipFill>
      <xdr:spPr>
        <a:xfrm>
          <a:off x="9382125" y="1905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3</xdr:row>
      <xdr:rowOff>171450</xdr:rowOff>
    </xdr:from>
    <xdr:to>
      <xdr:col>18</xdr:col>
      <xdr:colOff>419100</xdr:colOff>
      <xdr:row>3</xdr:row>
      <xdr:rowOff>495300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20200" y="1162050"/>
          <a:ext cx="1952625" cy="333375"/>
        </a:xfrm>
        <a:prstGeom prst="rect">
          <a:avLst/>
        </a:prstGeom>
        <a:solidFill>
          <a:srgbClr val="C6203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VERSÃO 1/2007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409575</xdr:colOff>
      <xdr:row>1</xdr:row>
      <xdr:rowOff>19050</xdr:rowOff>
    </xdr:from>
    <xdr:to>
      <xdr:col>26</xdr:col>
      <xdr:colOff>962025</xdr:colOff>
      <xdr:row>1</xdr:row>
      <xdr:rowOff>371475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20955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323850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14300" y="695325"/>
        <a:ext cx="4591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3</xdr:row>
      <xdr:rowOff>9525</xdr:rowOff>
    </xdr:from>
    <xdr:to>
      <xdr:col>15</xdr:col>
      <xdr:colOff>542925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752975" y="704850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8</xdr:col>
      <xdr:colOff>314325</xdr:colOff>
      <xdr:row>43</xdr:row>
      <xdr:rowOff>133350</xdr:rowOff>
    </xdr:to>
    <xdr:graphicFrame>
      <xdr:nvGraphicFramePr>
        <xdr:cNvPr id="3" name="Chart 3"/>
        <xdr:cNvGraphicFramePr/>
      </xdr:nvGraphicFramePr>
      <xdr:xfrm>
        <a:off x="114300" y="4133850"/>
        <a:ext cx="45815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24</xdr:row>
      <xdr:rowOff>38100</xdr:rowOff>
    </xdr:from>
    <xdr:to>
      <xdr:col>15</xdr:col>
      <xdr:colOff>542925</xdr:colOff>
      <xdr:row>43</xdr:row>
      <xdr:rowOff>133350</xdr:rowOff>
    </xdr:to>
    <xdr:graphicFrame>
      <xdr:nvGraphicFramePr>
        <xdr:cNvPr id="4" name="Chart 4"/>
        <xdr:cNvGraphicFramePr/>
      </xdr:nvGraphicFramePr>
      <xdr:xfrm>
        <a:off x="4743450" y="4133850"/>
        <a:ext cx="4448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323850</xdr:colOff>
      <xdr:row>63</xdr:row>
      <xdr:rowOff>152400</xdr:rowOff>
    </xdr:to>
    <xdr:graphicFrame>
      <xdr:nvGraphicFramePr>
        <xdr:cNvPr id="5" name="Chart 5"/>
        <xdr:cNvGraphicFramePr/>
      </xdr:nvGraphicFramePr>
      <xdr:xfrm>
        <a:off x="114300" y="7343775"/>
        <a:ext cx="459105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1</xdr:row>
      <xdr:rowOff>28575</xdr:rowOff>
    </xdr:from>
    <xdr:to>
      <xdr:col>1</xdr:col>
      <xdr:colOff>6372225</xdr:colOff>
      <xdr:row>1</xdr:row>
      <xdr:rowOff>381000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524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1</xdr:row>
      <xdr:rowOff>47625</xdr:rowOff>
    </xdr:from>
    <xdr:to>
      <xdr:col>7</xdr:col>
      <xdr:colOff>781050</xdr:colOff>
      <xdr:row>1</xdr:row>
      <xdr:rowOff>390525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3812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1038225</xdr:colOff>
      <xdr:row>1</xdr:row>
      <xdr:rowOff>123825</xdr:rowOff>
    </xdr:from>
    <xdr:to>
      <xdr:col>6</xdr:col>
      <xdr:colOff>1285875</xdr:colOff>
      <xdr:row>1</xdr:row>
      <xdr:rowOff>476250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4765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1</xdr:row>
      <xdr:rowOff>47625</xdr:rowOff>
    </xdr:from>
    <xdr:to>
      <xdr:col>11</xdr:col>
      <xdr:colOff>752475</xdr:colOff>
      <xdr:row>1</xdr:row>
      <xdr:rowOff>390525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3812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1</xdr:row>
      <xdr:rowOff>47625</xdr:rowOff>
    </xdr:from>
    <xdr:to>
      <xdr:col>10</xdr:col>
      <xdr:colOff>647700</xdr:colOff>
      <xdr:row>1</xdr:row>
      <xdr:rowOff>390525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3812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1</xdr:row>
      <xdr:rowOff>47625</xdr:rowOff>
    </xdr:from>
    <xdr:to>
      <xdr:col>10</xdr:col>
      <xdr:colOff>647700</xdr:colOff>
      <xdr:row>1</xdr:row>
      <xdr:rowOff>390525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23812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85725</xdr:rowOff>
    </xdr:from>
    <xdr:to>
      <xdr:col>14</xdr:col>
      <xdr:colOff>800100</xdr:colOff>
      <xdr:row>1</xdr:row>
      <xdr:rowOff>438150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76225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1</xdr:row>
      <xdr:rowOff>85725</xdr:rowOff>
    </xdr:from>
    <xdr:to>
      <xdr:col>13</xdr:col>
      <xdr:colOff>695325</xdr:colOff>
      <xdr:row>1</xdr:row>
      <xdr:rowOff>438150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276225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9.140625" style="2" customWidth="1"/>
    <col min="3" max="3" width="10.00390625" style="2" customWidth="1"/>
    <col min="4" max="9" width="9.140625" style="2" customWidth="1"/>
    <col min="10" max="10" width="11.421875" style="2" customWidth="1"/>
    <col min="11" max="18" width="9.140625" style="2" customWidth="1"/>
    <col min="19" max="19" width="9.140625" style="1" customWidth="1"/>
    <col min="20" max="20" width="2.7109375" style="1" customWidth="1"/>
    <col min="21" max="25" width="9.140625" style="1" customWidth="1"/>
    <col min="26" max="16384" width="9.140625" style="2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45" customHeight="1">
      <c r="A2" s="1"/>
      <c r="B2" s="491" t="s">
        <v>262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3"/>
    </row>
    <row r="3" spans="1:18" ht="19.5" customHeight="1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49.5" customHeight="1" thickBot="1">
      <c r="A4" s="1"/>
      <c r="B4" s="494" t="s">
        <v>279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6"/>
    </row>
    <row r="5" spans="1:18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s="6" customFormat="1" ht="32.25" customHeight="1" thickBot="1">
      <c r="A6" s="4"/>
      <c r="B6" s="503" t="s">
        <v>263</v>
      </c>
      <c r="C6" s="503"/>
      <c r="D6" s="500"/>
      <c r="E6" s="501"/>
      <c r="F6" s="501"/>
      <c r="G6" s="501"/>
      <c r="H6" s="501"/>
      <c r="I6" s="501"/>
      <c r="J6" s="502"/>
      <c r="K6" s="5" t="s">
        <v>264</v>
      </c>
      <c r="L6" s="500"/>
      <c r="M6" s="501"/>
      <c r="N6" s="501"/>
      <c r="O6" s="501"/>
      <c r="P6" s="501"/>
      <c r="Q6" s="501"/>
      <c r="R6" s="501"/>
      <c r="S6" s="501"/>
      <c r="T6" s="345"/>
      <c r="U6" s="4"/>
      <c r="V6" s="4"/>
      <c r="W6" s="4"/>
      <c r="X6" s="4"/>
      <c r="Y6" s="4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 customHeight="1" thickBot="1">
      <c r="A8" s="1"/>
      <c r="B8" s="504" t="s">
        <v>265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1"/>
    </row>
    <row r="9" spans="1:19" ht="30" customHeight="1">
      <c r="A9" s="1"/>
      <c r="B9" s="497" t="s">
        <v>266</v>
      </c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9"/>
    </row>
    <row r="10" spans="1:18" ht="13.5" thickBo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</row>
    <row r="11" spans="1:19" ht="30" customHeight="1">
      <c r="A11" s="1"/>
      <c r="B11" s="497" t="s">
        <v>267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9"/>
    </row>
    <row r="12" spans="1:18" ht="9.75" customHeight="1" thickBot="1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"/>
    </row>
    <row r="13" spans="1:19" ht="34.5" customHeight="1">
      <c r="A13" s="1"/>
      <c r="B13" s="8" t="s">
        <v>268</v>
      </c>
      <c r="C13" s="488" t="s">
        <v>269</v>
      </c>
      <c r="D13" s="489"/>
      <c r="E13" s="489"/>
      <c r="F13" s="489"/>
      <c r="G13" s="489"/>
      <c r="H13" s="489"/>
      <c r="I13" s="489"/>
      <c r="J13" s="490"/>
      <c r="K13" s="8" t="s">
        <v>277</v>
      </c>
      <c r="L13" s="488" t="s">
        <v>281</v>
      </c>
      <c r="M13" s="489"/>
      <c r="N13" s="489"/>
      <c r="O13" s="489"/>
      <c r="P13" s="489"/>
      <c r="Q13" s="489"/>
      <c r="R13" s="489"/>
      <c r="S13" s="490"/>
    </row>
    <row r="14" spans="1:19" ht="9.75" customHeight="1" thickBot="1">
      <c r="A14" s="1"/>
      <c r="B14" s="8"/>
      <c r="C14" s="9"/>
      <c r="D14" s="9"/>
      <c r="E14" s="9"/>
      <c r="F14" s="9"/>
      <c r="G14" s="9"/>
      <c r="H14" s="23"/>
      <c r="I14" s="23"/>
      <c r="J14" s="8"/>
      <c r="K14" s="8"/>
      <c r="L14" s="9"/>
      <c r="M14" s="9"/>
      <c r="N14" s="9"/>
      <c r="O14" s="9"/>
      <c r="P14" s="9"/>
      <c r="Q14" s="9"/>
      <c r="R14" s="21"/>
      <c r="S14" s="22"/>
    </row>
    <row r="15" spans="1:19" ht="34.5" customHeight="1">
      <c r="A15" s="1"/>
      <c r="B15" s="8" t="s">
        <v>271</v>
      </c>
      <c r="C15" s="488" t="s">
        <v>272</v>
      </c>
      <c r="D15" s="489"/>
      <c r="E15" s="489"/>
      <c r="F15" s="489"/>
      <c r="G15" s="489"/>
      <c r="H15" s="489"/>
      <c r="I15" s="489"/>
      <c r="J15" s="490"/>
      <c r="K15" s="8" t="s">
        <v>270</v>
      </c>
      <c r="L15" s="488" t="s">
        <v>308</v>
      </c>
      <c r="M15" s="489"/>
      <c r="N15" s="489"/>
      <c r="O15" s="489"/>
      <c r="P15" s="489"/>
      <c r="Q15" s="489"/>
      <c r="R15" s="489"/>
      <c r="S15" s="490"/>
    </row>
    <row r="16" spans="1:19" ht="9.75" customHeight="1" thickBot="1">
      <c r="A16" s="1"/>
      <c r="B16" s="8"/>
      <c r="C16" s="9"/>
      <c r="D16" s="9"/>
      <c r="E16" s="9"/>
      <c r="F16" s="9"/>
      <c r="G16" s="9"/>
      <c r="H16" s="23"/>
      <c r="I16" s="23"/>
      <c r="J16" s="8"/>
      <c r="K16" s="8"/>
      <c r="L16" s="9"/>
      <c r="M16" s="9"/>
      <c r="N16" s="9"/>
      <c r="O16" s="9"/>
      <c r="P16" s="9"/>
      <c r="Q16" s="9"/>
      <c r="R16" s="21"/>
      <c r="S16" s="22"/>
    </row>
    <row r="17" spans="1:19" ht="34.5" customHeight="1">
      <c r="A17" s="1"/>
      <c r="B17" s="8" t="s">
        <v>274</v>
      </c>
      <c r="C17" s="488" t="s">
        <v>280</v>
      </c>
      <c r="D17" s="489"/>
      <c r="E17" s="489"/>
      <c r="F17" s="489"/>
      <c r="G17" s="489"/>
      <c r="H17" s="489"/>
      <c r="I17" s="489"/>
      <c r="J17" s="490"/>
      <c r="K17" s="8" t="s">
        <v>273</v>
      </c>
      <c r="L17" s="488" t="s">
        <v>309</v>
      </c>
      <c r="M17" s="489"/>
      <c r="N17" s="489"/>
      <c r="O17" s="489"/>
      <c r="P17" s="489"/>
      <c r="Q17" s="489"/>
      <c r="R17" s="489"/>
      <c r="S17" s="490"/>
    </row>
    <row r="18" spans="1:19" ht="9.75" customHeight="1" thickBot="1">
      <c r="A18" s="1"/>
      <c r="B18" s="8"/>
      <c r="C18" s="9"/>
      <c r="D18" s="9"/>
      <c r="E18" s="9"/>
      <c r="F18" s="9"/>
      <c r="G18" s="9"/>
      <c r="H18" s="23"/>
      <c r="I18" s="23"/>
      <c r="J18" s="8"/>
      <c r="K18" s="8"/>
      <c r="L18" s="9"/>
      <c r="M18" s="9"/>
      <c r="N18" s="9"/>
      <c r="O18" s="9"/>
      <c r="P18" s="9"/>
      <c r="Q18" s="9"/>
      <c r="R18" s="21"/>
      <c r="S18" s="22"/>
    </row>
    <row r="19" spans="1:19" ht="34.5" customHeight="1">
      <c r="A19" s="1"/>
      <c r="B19" s="8" t="s">
        <v>276</v>
      </c>
      <c r="C19" s="488" t="s">
        <v>353</v>
      </c>
      <c r="D19" s="489"/>
      <c r="E19" s="489"/>
      <c r="F19" s="489"/>
      <c r="G19" s="489"/>
      <c r="H19" s="489"/>
      <c r="I19" s="489"/>
      <c r="J19" s="490"/>
      <c r="K19" s="8" t="s">
        <v>275</v>
      </c>
      <c r="L19" s="488" t="s">
        <v>278</v>
      </c>
      <c r="M19" s="489"/>
      <c r="N19" s="489"/>
      <c r="O19" s="489"/>
      <c r="P19" s="489"/>
      <c r="Q19" s="489"/>
      <c r="R19" s="489"/>
      <c r="S19" s="490"/>
    </row>
    <row r="20" spans="1:18" ht="9.75" customHeight="1">
      <c r="A20" s="1"/>
      <c r="B20" s="8"/>
      <c r="C20" s="9"/>
      <c r="D20" s="9"/>
      <c r="E20" s="9"/>
      <c r="F20" s="9"/>
      <c r="G20" s="9"/>
      <c r="H20" s="4"/>
      <c r="I20" s="4"/>
      <c r="J20" s="8"/>
      <c r="K20" s="9"/>
      <c r="L20" s="9"/>
      <c r="M20" s="9"/>
      <c r="N20" s="9"/>
      <c r="O20" s="9"/>
      <c r="P20" s="9"/>
      <c r="Q20" s="10"/>
      <c r="R20" s="1"/>
    </row>
    <row r="21" spans="1:18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</sheetData>
  <sheetProtection sheet="1" objects="1" scenarios="1"/>
  <mergeCells count="16">
    <mergeCell ref="C13:J13"/>
    <mergeCell ref="C15:J15"/>
    <mergeCell ref="C17:J17"/>
    <mergeCell ref="C19:J19"/>
    <mergeCell ref="B2:S2"/>
    <mergeCell ref="B4:S4"/>
    <mergeCell ref="B9:S9"/>
    <mergeCell ref="B11:S11"/>
    <mergeCell ref="L6:S6"/>
    <mergeCell ref="D6:J6"/>
    <mergeCell ref="B6:C6"/>
    <mergeCell ref="B8:Q8"/>
    <mergeCell ref="L13:S13"/>
    <mergeCell ref="L15:S15"/>
    <mergeCell ref="L17:S17"/>
    <mergeCell ref="L19:S19"/>
  </mergeCells>
  <hyperlinks>
    <hyperlink ref="B9:Q9" location="Tutorial!A1" display="TUTORIAL"/>
    <hyperlink ref="C13:J13" location="Cadastro!A1" display="Cadastro e classificação familiar"/>
    <hyperlink ref="C15:J15" location="SitSaúde!A1" display="Situação de Saúde"/>
    <hyperlink ref="C17:J17" location="AçõesColetivas!A1" display="Programação Ações Coletivas"/>
    <hyperlink ref="C19:J19" location="'Av.Risco e 1a Cons'!A1" display="Programação Avaliação Risco e 1a Consulta"/>
    <hyperlink ref="L13:S13" location="Tratamento!A1" display="Programação Tratamento"/>
    <hyperlink ref="L15:S15" location="'Consolidado - com THD'!A1" display="Consolidado / Agenda Semanal - com THD"/>
    <hyperlink ref="L17:S17" location="'Consolidado - sem THD'!A1" display="Consolidado / Agenda Semanal - sem THD"/>
    <hyperlink ref="L19:S19" location="Monitoramento!A1" display="Monitoramento"/>
  </hyperlinks>
  <printOptions/>
  <pageMargins left="0.75" right="0.75" top="1" bottom="1" header="0.492125985" footer="0.492125985"/>
  <pageSetup horizontalDpi="300" verticalDpi="3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2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.7109375" style="346" customWidth="1"/>
    <col min="2" max="2" width="55.140625" style="346" customWidth="1"/>
    <col min="3" max="3" width="6.8515625" style="346" customWidth="1"/>
    <col min="4" max="4" width="2.7109375" style="377" customWidth="1"/>
    <col min="5" max="5" width="7.00390625" style="346" customWidth="1"/>
    <col min="6" max="6" width="6.8515625" style="346" customWidth="1"/>
    <col min="7" max="7" width="16.140625" style="346" customWidth="1"/>
    <col min="8" max="8" width="5.00390625" style="346" customWidth="1"/>
    <col min="9" max="9" width="16.140625" style="346" customWidth="1"/>
    <col min="10" max="10" width="2.7109375" style="377" customWidth="1"/>
    <col min="11" max="22" width="7.7109375" style="346" customWidth="1"/>
    <col min="23" max="23" width="2.7109375" style="377" customWidth="1"/>
    <col min="24" max="25" width="8.421875" style="346" customWidth="1"/>
    <col min="26" max="26" width="2.7109375" style="346" customWidth="1"/>
    <col min="27" max="27" width="16.00390625" style="346" customWidth="1"/>
    <col min="28" max="28" width="11.57421875" style="346" bestFit="1" customWidth="1"/>
    <col min="29" max="16384" width="9.140625" style="346" customWidth="1"/>
  </cols>
  <sheetData>
    <row r="1" spans="2:27" ht="15" customHeight="1" thickBot="1"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</row>
    <row r="2" spans="2:28" ht="31.5" customHeight="1">
      <c r="B2" s="429" t="s">
        <v>411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4"/>
      <c r="AB2" s="347"/>
    </row>
    <row r="3" spans="2:27" ht="15" customHeight="1" thickBot="1">
      <c r="B3" s="348"/>
      <c r="C3" s="348"/>
      <c r="D3" s="349"/>
      <c r="E3" s="348"/>
      <c r="F3" s="348"/>
      <c r="G3" s="348"/>
      <c r="H3" s="348"/>
      <c r="I3" s="348"/>
      <c r="J3" s="349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9"/>
      <c r="X3" s="348"/>
      <c r="Y3" s="348"/>
      <c r="Z3" s="350"/>
      <c r="AA3" s="348"/>
    </row>
    <row r="4" spans="1:27" ht="20.25" customHeight="1">
      <c r="A4" s="351"/>
      <c r="B4" s="700" t="s">
        <v>412</v>
      </c>
      <c r="C4" s="701"/>
      <c r="D4" s="352"/>
      <c r="E4" s="706" t="s">
        <v>124</v>
      </c>
      <c r="F4" s="706"/>
      <c r="G4" s="706"/>
      <c r="H4" s="706"/>
      <c r="I4" s="706"/>
      <c r="J4" s="352"/>
      <c r="K4" s="707" t="s">
        <v>413</v>
      </c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353"/>
      <c r="AA4" s="708" t="s">
        <v>414</v>
      </c>
    </row>
    <row r="5" spans="1:27" s="362" customFormat="1" ht="37.5" customHeight="1">
      <c r="A5" s="354"/>
      <c r="B5" s="702"/>
      <c r="C5" s="703"/>
      <c r="D5" s="352"/>
      <c r="E5" s="710" t="s">
        <v>191</v>
      </c>
      <c r="F5" s="712" t="s">
        <v>415</v>
      </c>
      <c r="G5" s="710"/>
      <c r="H5" s="712" t="s">
        <v>416</v>
      </c>
      <c r="I5" s="714"/>
      <c r="J5" s="31"/>
      <c r="K5" s="356" t="s">
        <v>417</v>
      </c>
      <c r="L5" s="355" t="s">
        <v>418</v>
      </c>
      <c r="M5" s="357" t="s">
        <v>419</v>
      </c>
      <c r="N5" s="358" t="s">
        <v>420</v>
      </c>
      <c r="O5" s="355" t="s">
        <v>421</v>
      </c>
      <c r="P5" s="357" t="s">
        <v>422</v>
      </c>
      <c r="Q5" s="357" t="s">
        <v>423</v>
      </c>
      <c r="R5" s="359" t="s">
        <v>424</v>
      </c>
      <c r="S5" s="355" t="s">
        <v>425</v>
      </c>
      <c r="T5" s="358" t="s">
        <v>426</v>
      </c>
      <c r="U5" s="357" t="s">
        <v>427</v>
      </c>
      <c r="V5" s="360" t="s">
        <v>428</v>
      </c>
      <c r="W5" s="361"/>
      <c r="X5" s="716" t="s">
        <v>429</v>
      </c>
      <c r="Y5" s="717"/>
      <c r="Z5" s="346"/>
      <c r="AA5" s="709"/>
    </row>
    <row r="6" spans="1:27" s="362" customFormat="1" ht="24.75" customHeight="1">
      <c r="A6" s="354"/>
      <c r="B6" s="704"/>
      <c r="C6" s="705"/>
      <c r="D6" s="352"/>
      <c r="E6" s="711"/>
      <c r="F6" s="713"/>
      <c r="G6" s="711"/>
      <c r="H6" s="713"/>
      <c r="I6" s="715"/>
      <c r="J6" s="205"/>
      <c r="K6" s="363" t="s">
        <v>430</v>
      </c>
      <c r="L6" s="365" t="s">
        <v>430</v>
      </c>
      <c r="M6" s="363" t="s">
        <v>430</v>
      </c>
      <c r="N6" s="364" t="s">
        <v>430</v>
      </c>
      <c r="O6" s="355" t="s">
        <v>430</v>
      </c>
      <c r="P6" s="366" t="s">
        <v>430</v>
      </c>
      <c r="Q6" s="366" t="s">
        <v>430</v>
      </c>
      <c r="R6" s="355" t="s">
        <v>430</v>
      </c>
      <c r="S6" s="366" t="s">
        <v>430</v>
      </c>
      <c r="T6" s="364" t="s">
        <v>430</v>
      </c>
      <c r="U6" s="366" t="s">
        <v>430</v>
      </c>
      <c r="V6" s="367" t="s">
        <v>430</v>
      </c>
      <c r="W6" s="205"/>
      <c r="X6" s="368" t="s">
        <v>430</v>
      </c>
      <c r="Y6" s="367" t="s">
        <v>191</v>
      </c>
      <c r="Z6" s="346"/>
      <c r="AA6" s="369" t="s">
        <v>430</v>
      </c>
    </row>
    <row r="7" spans="2:27" s="362" customFormat="1" ht="15" customHeight="1" thickBot="1">
      <c r="B7" s="370"/>
      <c r="C7" s="370"/>
      <c r="D7" s="29"/>
      <c r="E7" s="370"/>
      <c r="F7" s="370"/>
      <c r="G7" s="370"/>
      <c r="H7" s="370"/>
      <c r="I7" s="370"/>
      <c r="J7" s="29"/>
      <c r="K7" s="371"/>
      <c r="L7" s="371"/>
      <c r="M7" s="371"/>
      <c r="N7" s="371"/>
      <c r="O7" s="372"/>
      <c r="P7" s="371"/>
      <c r="Q7" s="371"/>
      <c r="R7" s="372"/>
      <c r="S7" s="371"/>
      <c r="T7" s="371"/>
      <c r="U7" s="371"/>
      <c r="V7" s="371"/>
      <c r="W7" s="373"/>
      <c r="X7" s="371"/>
      <c r="Y7" s="371"/>
      <c r="Z7" s="346"/>
      <c r="AA7" s="371"/>
    </row>
    <row r="8" spans="2:28" s="362" customFormat="1" ht="24.75" customHeight="1">
      <c r="B8" s="675" t="s">
        <v>83</v>
      </c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676"/>
      <c r="AA8" s="677"/>
      <c r="AB8" s="374"/>
    </row>
    <row r="9" spans="2:27" s="362" customFormat="1" ht="15" customHeight="1" thickBot="1">
      <c r="B9" s="375"/>
      <c r="C9" s="375"/>
      <c r="D9" s="376"/>
      <c r="E9" s="375"/>
      <c r="F9" s="375"/>
      <c r="G9" s="375"/>
      <c r="H9" s="375"/>
      <c r="I9" s="375"/>
      <c r="J9" s="376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6"/>
      <c r="X9" s="375"/>
      <c r="Y9" s="375"/>
      <c r="Z9" s="375"/>
      <c r="AA9" s="375"/>
    </row>
    <row r="10" spans="1:27" ht="34.5" customHeight="1">
      <c r="A10" s="377"/>
      <c r="B10" s="668" t="s">
        <v>19</v>
      </c>
      <c r="C10" s="669"/>
      <c r="D10" s="30"/>
      <c r="E10" s="695" t="s">
        <v>7</v>
      </c>
      <c r="F10" s="621">
        <f>AçõesColetivas!H9+AçõesColetivas!H10+AçõesColetivas!H11+AçõesColetivas!H12+AçõesColetivas!H13+AçõesColetivas!H14+AçõesColetivas!H15+AçõesColetivas!H16</f>
        <v>0</v>
      </c>
      <c r="G10" s="673" t="s">
        <v>4</v>
      </c>
      <c r="H10" s="663">
        <f>F10/12</f>
        <v>0</v>
      </c>
      <c r="I10" s="597" t="s">
        <v>4</v>
      </c>
      <c r="J10" s="30"/>
      <c r="K10" s="694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209"/>
      <c r="X10" s="656">
        <f>K10+L10+M10+N10+O10+P10+Q10+R10+S10+T10+U10+V10</f>
        <v>0</v>
      </c>
      <c r="Y10" s="593" t="e">
        <f>X10/F10*100</f>
        <v>#DIV/0!</v>
      </c>
      <c r="Z10" s="185"/>
      <c r="AA10" s="650">
        <f>(H10-K10)+(H10-L10)+(H10-M10)+(H10-N10)+(H10-O10)+(H10-P10)+(H10-Q10)+(H10-R10)+(H10-S10)+(H10-T10)+(H10-U10)+(H10-V10)</f>
        <v>0</v>
      </c>
    </row>
    <row r="11" spans="1:27" ht="32.25" customHeight="1">
      <c r="A11" s="377"/>
      <c r="B11" s="610"/>
      <c r="C11" s="444"/>
      <c r="D11" s="30"/>
      <c r="E11" s="698"/>
      <c r="F11" s="690"/>
      <c r="G11" s="691"/>
      <c r="H11" s="692"/>
      <c r="I11" s="693"/>
      <c r="J11" s="30"/>
      <c r="K11" s="666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209"/>
      <c r="X11" s="697"/>
      <c r="Y11" s="682"/>
      <c r="Z11" s="94"/>
      <c r="AA11" s="681"/>
    </row>
    <row r="12" spans="1:27" ht="34.5" customHeight="1">
      <c r="A12" s="377"/>
      <c r="B12" s="684" t="s">
        <v>440</v>
      </c>
      <c r="C12" s="685"/>
      <c r="D12" s="30"/>
      <c r="E12" s="695">
        <f>AçõesColetivas!G38</f>
        <v>0</v>
      </c>
      <c r="F12" s="631">
        <f>AçõesColetivas!H38+AçõesColetivas!H40+AçõesColetivas!H41+AçõesColetivas!H43+AçõesColetivas!H45</f>
        <v>0</v>
      </c>
      <c r="G12" s="686" t="s">
        <v>4</v>
      </c>
      <c r="H12" s="663">
        <f>F12/12</f>
        <v>0</v>
      </c>
      <c r="I12" s="620" t="s">
        <v>4</v>
      </c>
      <c r="J12" s="30"/>
      <c r="K12" s="687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678"/>
      <c r="W12" s="209"/>
      <c r="X12" s="478">
        <f>K12+L12+M12+N12+O12+P12+Q12+R12+S12+T12+U12+V12</f>
        <v>0</v>
      </c>
      <c r="Y12" s="593" t="e">
        <f>X12/F12*100</f>
        <v>#DIV/0!</v>
      </c>
      <c r="Z12" s="185"/>
      <c r="AA12" s="650">
        <f>(H12-K12)+(H12-L12)+(H12-M12)+(H12-N12)+(H12-O12)+(H12-P12)+(H12-Q12)+(H12-R12)+(H12-S12)+(H12-T12)+(H12-U12)+(H12-V12)</f>
        <v>0</v>
      </c>
    </row>
    <row r="13" spans="1:27" ht="34.5" customHeight="1">
      <c r="A13" s="377"/>
      <c r="B13" s="663"/>
      <c r="C13" s="670"/>
      <c r="D13" s="30"/>
      <c r="E13" s="696"/>
      <c r="F13" s="672"/>
      <c r="G13" s="674"/>
      <c r="H13" s="664"/>
      <c r="I13" s="665"/>
      <c r="J13" s="30"/>
      <c r="K13" s="688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79"/>
      <c r="W13" s="209"/>
      <c r="X13" s="657"/>
      <c r="Y13" s="671"/>
      <c r="Z13" s="226"/>
      <c r="AA13" s="651"/>
    </row>
    <row r="14" spans="2:27" ht="15" customHeight="1" thickBot="1">
      <c r="B14" s="378"/>
      <c r="C14" s="379"/>
      <c r="D14" s="292"/>
      <c r="E14" s="380"/>
      <c r="F14" s="370"/>
      <c r="G14" s="379"/>
      <c r="H14" s="370"/>
      <c r="I14" s="379"/>
      <c r="J14" s="292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29"/>
      <c r="X14" s="370"/>
      <c r="Y14" s="380"/>
      <c r="Z14" s="380"/>
      <c r="AA14" s="400"/>
    </row>
    <row r="15" spans="2:27" s="362" customFormat="1" ht="24.75" customHeight="1">
      <c r="B15" s="675" t="s">
        <v>432</v>
      </c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7"/>
    </row>
    <row r="16" spans="2:27" s="362" customFormat="1" ht="15" customHeight="1" thickBot="1">
      <c r="B16" s="381"/>
      <c r="C16" s="381"/>
      <c r="D16" s="382"/>
      <c r="E16" s="381"/>
      <c r="F16" s="381"/>
      <c r="G16" s="381"/>
      <c r="H16" s="381"/>
      <c r="I16" s="381"/>
      <c r="J16" s="382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2"/>
      <c r="X16" s="381"/>
      <c r="Y16" s="381"/>
      <c r="Z16" s="381"/>
      <c r="AA16" s="381"/>
    </row>
    <row r="17" spans="1:27" ht="42" customHeight="1">
      <c r="A17" s="377"/>
      <c r="B17" s="668" t="s">
        <v>433</v>
      </c>
      <c r="C17" s="669"/>
      <c r="D17" s="30"/>
      <c r="E17" s="593" t="s">
        <v>7</v>
      </c>
      <c r="F17" s="621">
        <f>'Av.Risco e 1a Cons'!I9+'Av.Risco e 1a Cons'!I10+'Av.Risco e 1a Cons'!I11+'Av.Risco e 1a Cons'!I12+'Av.Risco e 1a Cons'!I13+'Av.Risco e 1a Cons'!I14+'Av.Risco e 1a Cons'!I15+'Av.Risco e 1a Cons'!I16</f>
        <v>0</v>
      </c>
      <c r="G17" s="673" t="s">
        <v>5</v>
      </c>
      <c r="H17" s="663">
        <f>F17/11</f>
        <v>0</v>
      </c>
      <c r="I17" s="597" t="s">
        <v>5</v>
      </c>
      <c r="J17" s="30"/>
      <c r="K17" s="694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209"/>
      <c r="X17" s="656">
        <f>K17+L17+M17+N17+O17+P17+Q17+R17+S17+T17+U17+V17</f>
        <v>0</v>
      </c>
      <c r="Y17" s="593" t="e">
        <f>X17/F17*100</f>
        <v>#DIV/0!</v>
      </c>
      <c r="Z17" s="94"/>
      <c r="AA17" s="650">
        <f>(H17-K17)+(H17-L17)+(H17-M17)+(H17-N17)+(H17-O17)+(H17-P17)+(H17-Q17)+(H17-R17)+(H17-S17)+(H17-T17)+(H17-U17)-V17</f>
        <v>0</v>
      </c>
    </row>
    <row r="18" spans="1:27" ht="34.5" customHeight="1">
      <c r="A18" s="377"/>
      <c r="B18" s="610"/>
      <c r="C18" s="444"/>
      <c r="D18" s="30"/>
      <c r="E18" s="682"/>
      <c r="F18" s="690"/>
      <c r="G18" s="691"/>
      <c r="H18" s="692"/>
      <c r="I18" s="693"/>
      <c r="J18" s="30"/>
      <c r="K18" s="666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W18" s="209"/>
      <c r="X18" s="689"/>
      <c r="Y18" s="682"/>
      <c r="Z18" s="185"/>
      <c r="AA18" s="681"/>
    </row>
    <row r="19" spans="1:27" ht="50.25" customHeight="1">
      <c r="A19" s="377"/>
      <c r="B19" s="684" t="s">
        <v>434</v>
      </c>
      <c r="C19" s="685"/>
      <c r="D19" s="30"/>
      <c r="E19" s="593" t="s">
        <v>7</v>
      </c>
      <c r="F19" s="631">
        <f>'Av.Risco e 1a Cons'!I20+'Av.Risco e 1a Cons'!I21+'Av.Risco e 1a Cons'!I22+'Av.Risco e 1a Cons'!I23+'Av.Risco e 1a Cons'!I24+'Av.Risco e 1a Cons'!I25+'Av.Risco e 1a Cons'!I26+'Av.Risco e 1a Cons'!I27</f>
        <v>0</v>
      </c>
      <c r="G19" s="686" t="s">
        <v>6</v>
      </c>
      <c r="H19" s="632">
        <f>F19/11</f>
        <v>0</v>
      </c>
      <c r="I19" s="620" t="s">
        <v>6</v>
      </c>
      <c r="J19" s="30"/>
      <c r="K19" s="687"/>
      <c r="L19" s="680"/>
      <c r="M19" s="680"/>
      <c r="N19" s="680"/>
      <c r="O19" s="680"/>
      <c r="P19" s="680"/>
      <c r="Q19" s="680"/>
      <c r="R19" s="680"/>
      <c r="S19" s="680"/>
      <c r="T19" s="680"/>
      <c r="U19" s="680"/>
      <c r="V19" s="678"/>
      <c r="W19" s="209"/>
      <c r="X19" s="656">
        <f>K19+L19+M19+N19+O19+P19+Q19+R19+S19+T19+U19+V19</f>
        <v>0</v>
      </c>
      <c r="Y19" s="593" t="e">
        <f>X19/F19*100</f>
        <v>#DIV/0!</v>
      </c>
      <c r="Z19" s="185"/>
      <c r="AA19" s="650">
        <f>(H19-K19)+(H19-L19)+(H19-M19)+(H19-N19)+(H19-O19)+(H19-P19)+(H19-Q19)+(H19-R19)+(H19-S19)+(H19-T19)+(H19-U19)-V19</f>
        <v>0</v>
      </c>
    </row>
    <row r="20" spans="1:27" ht="34.5" customHeight="1">
      <c r="A20" s="377"/>
      <c r="B20" s="663"/>
      <c r="C20" s="670"/>
      <c r="D20" s="30"/>
      <c r="E20" s="671"/>
      <c r="F20" s="672"/>
      <c r="G20" s="674"/>
      <c r="H20" s="672"/>
      <c r="I20" s="665"/>
      <c r="J20" s="30"/>
      <c r="K20" s="688"/>
      <c r="L20" s="662"/>
      <c r="M20" s="662"/>
      <c r="N20" s="662"/>
      <c r="O20" s="662"/>
      <c r="P20" s="662"/>
      <c r="Q20" s="662"/>
      <c r="R20" s="662"/>
      <c r="S20" s="662"/>
      <c r="T20" s="662"/>
      <c r="U20" s="662"/>
      <c r="V20" s="679"/>
      <c r="W20" s="209"/>
      <c r="X20" s="657"/>
      <c r="Y20" s="671"/>
      <c r="Z20" s="94"/>
      <c r="AA20" s="651"/>
    </row>
    <row r="21" spans="2:27" ht="15" customHeight="1" thickBot="1">
      <c r="B21" s="378"/>
      <c r="C21" s="379"/>
      <c r="D21" s="292"/>
      <c r="E21" s="380"/>
      <c r="F21" s="370"/>
      <c r="G21" s="379"/>
      <c r="H21" s="370"/>
      <c r="I21" s="379"/>
      <c r="J21" s="292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29"/>
      <c r="X21" s="370"/>
      <c r="Y21" s="380"/>
      <c r="Z21" s="383"/>
      <c r="AA21" s="400"/>
    </row>
    <row r="22" spans="2:28" ht="24.75" customHeight="1">
      <c r="B22" s="675" t="s">
        <v>84</v>
      </c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676"/>
      <c r="Z22" s="676"/>
      <c r="AA22" s="677"/>
      <c r="AB22" s="347"/>
    </row>
    <row r="23" spans="2:27" ht="15" customHeight="1" thickBot="1">
      <c r="B23" s="381"/>
      <c r="C23" s="382"/>
      <c r="D23" s="382"/>
      <c r="E23" s="381"/>
      <c r="F23" s="381"/>
      <c r="G23" s="381"/>
      <c r="H23" s="381"/>
      <c r="I23" s="381"/>
      <c r="J23" s="38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382"/>
      <c r="X23" s="381"/>
      <c r="Y23" s="381"/>
      <c r="Z23" s="381"/>
      <c r="AA23" s="381"/>
    </row>
    <row r="24" spans="1:27" ht="32.25" customHeight="1">
      <c r="A24" s="377"/>
      <c r="B24" s="668" t="s">
        <v>13</v>
      </c>
      <c r="C24" s="669"/>
      <c r="D24" s="30"/>
      <c r="E24" s="593" t="s">
        <v>7</v>
      </c>
      <c r="F24" s="621">
        <f>Tratamento!I9+Tratamento!I10+Tratamento!I11+Tratamento!I12+Tratamento!I13+Tratamento!I14+Tratamento!I18+Tratamento!I19+Tratamento!I20+Tratamento!I21+Tratamento!I22+Tratamento!I26+Tratamento!I27+Tratamento!I28+Tratamento!I29+Tratamento!I30+Tratamento!I31+Tratamento!I35+Tratamento!I36+Tratamento!I37+Tratamento!I38+Tratamento!I39+Tratamento!I40+Tratamento!I44+Tratamento!I45+Tratamento!I46+Tratamento!I47+Tratamento!I48+Tratamento!I49+Tratamento!I53+Tratamento!I54+Tratamento!I55+Tratamento!I56+Tratamento!I57+Tratamento!I58+Tratamento!I62+Tratamento!I63+Tratamento!I64+Tratamento!I65+Tratamento!I66+Tratamento!I67+Tratamento!I71+Tratamento!I72+Tratamento!I73+Tratamento!I74+Tratamento!I75+Tratamento!I76</f>
        <v>0</v>
      </c>
      <c r="G24" s="673" t="s">
        <v>21</v>
      </c>
      <c r="H24" s="663">
        <f>F24/11</f>
        <v>0</v>
      </c>
      <c r="I24" s="597" t="s">
        <v>21</v>
      </c>
      <c r="J24" s="30"/>
      <c r="K24" s="666"/>
      <c r="L24" s="652"/>
      <c r="M24" s="652"/>
      <c r="N24" s="652"/>
      <c r="O24" s="659"/>
      <c r="P24" s="661"/>
      <c r="Q24" s="652"/>
      <c r="R24" s="652"/>
      <c r="S24" s="652"/>
      <c r="T24" s="652"/>
      <c r="U24" s="652"/>
      <c r="V24" s="654"/>
      <c r="W24" s="31"/>
      <c r="X24" s="656">
        <f>K24+L24+M24+N24+O24+P24+Q24+R24+S24+T24+U24+V24</f>
        <v>0</v>
      </c>
      <c r="Y24" s="551" t="e">
        <f>X24/F24*100</f>
        <v>#DIV/0!</v>
      </c>
      <c r="Z24" s="185"/>
      <c r="AA24" s="650">
        <f>(H24-K24)+(H24-L24)+(H24-M24)+(H24-N24)+(H24-O24)+(H24-P24)+(H24-Q24)+(H24-R24)+(H24-S24)+(H24-T24)+(H24-U24)-V24</f>
        <v>0</v>
      </c>
    </row>
    <row r="25" spans="1:27" ht="25.5" customHeight="1">
      <c r="A25" s="377"/>
      <c r="B25" s="663"/>
      <c r="C25" s="670"/>
      <c r="D25" s="333"/>
      <c r="E25" s="671"/>
      <c r="F25" s="672"/>
      <c r="G25" s="674"/>
      <c r="H25" s="664"/>
      <c r="I25" s="665"/>
      <c r="J25" s="30"/>
      <c r="K25" s="667"/>
      <c r="L25" s="653"/>
      <c r="M25" s="653"/>
      <c r="N25" s="653"/>
      <c r="O25" s="660"/>
      <c r="P25" s="662"/>
      <c r="Q25" s="653"/>
      <c r="R25" s="653"/>
      <c r="S25" s="653"/>
      <c r="T25" s="653"/>
      <c r="U25" s="653"/>
      <c r="V25" s="655"/>
      <c r="W25" s="209"/>
      <c r="X25" s="657"/>
      <c r="Y25" s="658"/>
      <c r="Z25" s="185"/>
      <c r="AA25" s="651"/>
    </row>
    <row r="26" spans="26:27" ht="12.75" customHeight="1">
      <c r="Z26" s="377"/>
      <c r="AA26" s="401"/>
    </row>
    <row r="27" ht="12.75" customHeight="1">
      <c r="Z27" s="377"/>
    </row>
    <row r="28" ht="12.75" customHeight="1">
      <c r="Z28" s="377"/>
    </row>
    <row r="29" ht="12.75" customHeight="1">
      <c r="Z29" s="377"/>
    </row>
    <row r="30" ht="12.75" customHeight="1">
      <c r="Z30" s="377"/>
    </row>
    <row r="31" ht="12.75" customHeight="1">
      <c r="Z31" s="377"/>
    </row>
    <row r="32" ht="12.75" customHeight="1">
      <c r="Z32" s="377"/>
    </row>
    <row r="33" ht="12.75" customHeight="1">
      <c r="Z33" s="377"/>
    </row>
    <row r="34" ht="12.75" customHeight="1">
      <c r="Z34" s="377"/>
    </row>
    <row r="35" ht="12.75" customHeight="1">
      <c r="Z35" s="377"/>
    </row>
    <row r="36" ht="12.75" customHeight="1">
      <c r="Z36" s="377"/>
    </row>
    <row r="37" ht="12.75" customHeight="1">
      <c r="Z37" s="377"/>
    </row>
    <row r="38" ht="12.75" customHeight="1">
      <c r="Z38" s="377"/>
    </row>
    <row r="39" ht="12.75" customHeight="1">
      <c r="Z39" s="377"/>
    </row>
    <row r="40" ht="12.75" customHeight="1">
      <c r="Z40" s="377"/>
    </row>
    <row r="41" ht="12.75" customHeight="1">
      <c r="Z41" s="377"/>
    </row>
    <row r="42" ht="12.75" customHeight="1">
      <c r="Z42" s="377"/>
    </row>
    <row r="43" ht="12.75" customHeight="1">
      <c r="Z43" s="377"/>
    </row>
    <row r="44" ht="12.75" customHeight="1">
      <c r="Z44" s="377"/>
    </row>
    <row r="45" ht="12.75" customHeight="1">
      <c r="Z45" s="377"/>
    </row>
    <row r="46" ht="12.75" customHeight="1">
      <c r="Z46" s="377"/>
    </row>
    <row r="47" ht="12.75" customHeight="1">
      <c r="Z47" s="377"/>
    </row>
    <row r="48" ht="12.75" customHeight="1">
      <c r="Z48" s="377"/>
    </row>
    <row r="49" ht="12.75" customHeight="1">
      <c r="Z49" s="377"/>
    </row>
    <row r="50" ht="12.75" customHeight="1">
      <c r="Z50" s="377"/>
    </row>
    <row r="51" ht="12.75" customHeight="1">
      <c r="Z51" s="377"/>
    </row>
    <row r="52" ht="12.75" customHeight="1">
      <c r="Z52" s="377"/>
    </row>
    <row r="53" ht="12.75" customHeight="1">
      <c r="Z53" s="377"/>
    </row>
    <row r="54" ht="12.75" customHeight="1">
      <c r="Z54" s="377"/>
    </row>
    <row r="55" ht="12.75" customHeight="1">
      <c r="Z55" s="377"/>
    </row>
    <row r="56" ht="12.75" customHeight="1">
      <c r="Z56" s="377"/>
    </row>
    <row r="57" ht="12.75" customHeight="1">
      <c r="Z57" s="377"/>
    </row>
    <row r="58" ht="12.75" customHeight="1">
      <c r="Z58" s="377"/>
    </row>
    <row r="59" ht="12.75" customHeight="1">
      <c r="Z59" s="377"/>
    </row>
    <row r="60" ht="12.75" customHeight="1">
      <c r="Z60" s="377"/>
    </row>
    <row r="61" ht="12.75" customHeight="1">
      <c r="Z61" s="377"/>
    </row>
    <row r="62" ht="12.75" customHeight="1">
      <c r="Z62" s="377"/>
    </row>
    <row r="63" ht="12.75" customHeight="1">
      <c r="Z63" s="377"/>
    </row>
    <row r="64" ht="12.75" customHeight="1">
      <c r="Z64" s="377"/>
    </row>
    <row r="65" ht="12.75" customHeight="1">
      <c r="Z65" s="377"/>
    </row>
    <row r="66" ht="12.75" customHeight="1">
      <c r="Z66" s="377"/>
    </row>
    <row r="67" ht="12.75">
      <c r="Z67" s="377"/>
    </row>
    <row r="68" ht="12.75">
      <c r="Z68" s="377"/>
    </row>
    <row r="69" ht="12.75">
      <c r="Z69" s="377"/>
    </row>
    <row r="70" ht="12.75">
      <c r="Z70" s="377"/>
    </row>
    <row r="73" ht="12" customHeight="1"/>
    <row r="74" spans="7:22" ht="12.75">
      <c r="G74" s="346" t="s">
        <v>14</v>
      </c>
      <c r="I74" s="346" t="s">
        <v>435</v>
      </c>
      <c r="K74" s="385">
        <f>H10</f>
        <v>0</v>
      </c>
      <c r="L74" s="385">
        <f>K74*2</f>
        <v>0</v>
      </c>
      <c r="M74" s="385">
        <f>K74*3</f>
        <v>0</v>
      </c>
      <c r="N74" s="385">
        <f>K74*4</f>
        <v>0</v>
      </c>
      <c r="O74" s="385">
        <f>K74*5</f>
        <v>0</v>
      </c>
      <c r="P74" s="385">
        <f>K74*6</f>
        <v>0</v>
      </c>
      <c r="Q74" s="385">
        <f>K74*7</f>
        <v>0</v>
      </c>
      <c r="R74" s="385">
        <f>K74*8</f>
        <v>0</v>
      </c>
      <c r="S74" s="385">
        <f>K74*9</f>
        <v>0</v>
      </c>
      <c r="T74" s="385">
        <f>K74*10</f>
        <v>0</v>
      </c>
      <c r="U74" s="385">
        <f>K74*11</f>
        <v>0</v>
      </c>
      <c r="V74" s="384">
        <f>K74*12</f>
        <v>0</v>
      </c>
    </row>
    <row r="75" spans="9:22" ht="12.75">
      <c r="I75" s="346" t="s">
        <v>436</v>
      </c>
      <c r="K75" s="346">
        <f>K10</f>
        <v>0</v>
      </c>
      <c r="L75" s="346">
        <f>K10+L10</f>
        <v>0</v>
      </c>
      <c r="M75" s="346">
        <f>K10+L10+M10</f>
        <v>0</v>
      </c>
      <c r="N75" s="346">
        <f>K10+L10+M10+N10</f>
        <v>0</v>
      </c>
      <c r="O75" s="346">
        <f>K10+L10+M10+N10+O10</f>
        <v>0</v>
      </c>
      <c r="P75" s="346">
        <f>K10+L10+M10+N10+O10+P10</f>
        <v>0</v>
      </c>
      <c r="Q75" s="346">
        <f>K10+L10+M10+N10+O10+P10+Q10</f>
        <v>0</v>
      </c>
      <c r="R75" s="346">
        <f>K10+L10+M10+N10+O10+P10+Q10+R10</f>
        <v>0</v>
      </c>
      <c r="S75" s="346">
        <f>K10+L10+M10+N10+O10+P10+Q10+R10+S10</f>
        <v>0</v>
      </c>
      <c r="T75" s="346">
        <f>K10+L10+M10+N10+O10+P10+Q10+R10+S10+T10</f>
        <v>0</v>
      </c>
      <c r="U75" s="346">
        <f>K10+L10+M10+N10+O10+P10+Q10+R10+S10+T10+U10</f>
        <v>0</v>
      </c>
      <c r="V75" s="346">
        <f>K10+L10+M10+N10+O10+P10+Q10+R10+S10+T10+U10+V10</f>
        <v>0</v>
      </c>
    </row>
    <row r="77" spans="7:22" ht="12.75">
      <c r="G77" s="346" t="s">
        <v>15</v>
      </c>
      <c r="I77" s="346" t="s">
        <v>435</v>
      </c>
      <c r="K77" s="385">
        <f>H12</f>
        <v>0</v>
      </c>
      <c r="L77" s="385">
        <f>K77*2</f>
        <v>0</v>
      </c>
      <c r="M77" s="385">
        <f>K77*3</f>
        <v>0</v>
      </c>
      <c r="N77" s="385">
        <f>K77*4</f>
        <v>0</v>
      </c>
      <c r="O77" s="385">
        <f>K77*5</f>
        <v>0</v>
      </c>
      <c r="P77" s="385">
        <f>K77*6</f>
        <v>0</v>
      </c>
      <c r="Q77" s="385">
        <f>K77*7</f>
        <v>0</v>
      </c>
      <c r="R77" s="385">
        <f>K77*8</f>
        <v>0</v>
      </c>
      <c r="S77" s="385">
        <f>K77*9</f>
        <v>0</v>
      </c>
      <c r="T77" s="385">
        <f>K77*10</f>
        <v>0</v>
      </c>
      <c r="U77" s="385">
        <f>K77*11</f>
        <v>0</v>
      </c>
      <c r="V77" s="384">
        <f>K77*12</f>
        <v>0</v>
      </c>
    </row>
    <row r="78" spans="9:22" ht="12.75">
      <c r="I78" s="346" t="s">
        <v>436</v>
      </c>
      <c r="K78" s="346">
        <f>K12</f>
        <v>0</v>
      </c>
      <c r="L78" s="346">
        <f>K12+L12</f>
        <v>0</v>
      </c>
      <c r="M78" s="346">
        <f>K12+L12+M12</f>
        <v>0</v>
      </c>
      <c r="N78" s="346">
        <f>K12+L12+M12+N12</f>
        <v>0</v>
      </c>
      <c r="O78" s="346">
        <f>K12+L12+M12+N12+O12</f>
        <v>0</v>
      </c>
      <c r="P78" s="346">
        <f>K12+L12+M12+N12+O12+P12</f>
        <v>0</v>
      </c>
      <c r="Q78" s="346">
        <f>K12+L12+M12+N12+O12+P12+Q12</f>
        <v>0</v>
      </c>
      <c r="R78" s="346">
        <f>K12+L12+M12+N12+O12+P12+Q12+R12</f>
        <v>0</v>
      </c>
      <c r="S78" s="346">
        <f>K12+L12+M12+N12+O12+P12+Q12+R12+S12</f>
        <v>0</v>
      </c>
      <c r="T78" s="346">
        <f>K12+L12+M12+N12+O12+P12+Q12+R12+S12+T12</f>
        <v>0</v>
      </c>
      <c r="U78" s="346">
        <f>K12+L12+M12+N12+O12+P12+Q12+R12+S12+T12+U12</f>
        <v>0</v>
      </c>
      <c r="V78" s="346">
        <f>K12+L12+M12+N12+O12+P12+Q12+R12+S12+T12+U12+V12</f>
        <v>0</v>
      </c>
    </row>
    <row r="79" spans="11:22" ht="12.75"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4"/>
    </row>
    <row r="80" spans="7:22" ht="12.75">
      <c r="G80" s="346" t="s">
        <v>16</v>
      </c>
      <c r="I80" s="346" t="s">
        <v>435</v>
      </c>
      <c r="K80" s="385">
        <f>H17</f>
        <v>0</v>
      </c>
      <c r="L80" s="385">
        <f>K80*2</f>
        <v>0</v>
      </c>
      <c r="M80" s="385">
        <f>K80*3</f>
        <v>0</v>
      </c>
      <c r="N80" s="385">
        <f>K80*4</f>
        <v>0</v>
      </c>
      <c r="O80" s="385">
        <f>K80*5</f>
        <v>0</v>
      </c>
      <c r="P80" s="385">
        <f>K80*6</f>
        <v>0</v>
      </c>
      <c r="Q80" s="385">
        <f>K80*7</f>
        <v>0</v>
      </c>
      <c r="R80" s="385">
        <f>K80*8</f>
        <v>0</v>
      </c>
      <c r="S80" s="385">
        <f>K80*9</f>
        <v>0</v>
      </c>
      <c r="T80" s="385">
        <f>K80*10</f>
        <v>0</v>
      </c>
      <c r="U80" s="385">
        <f>K80*11</f>
        <v>0</v>
      </c>
      <c r="V80" s="385">
        <f>U80</f>
        <v>0</v>
      </c>
    </row>
    <row r="81" spans="9:22" ht="12.75">
      <c r="I81" s="346" t="s">
        <v>436</v>
      </c>
      <c r="K81" s="385">
        <f>K17</f>
        <v>0</v>
      </c>
      <c r="L81" s="385">
        <f>K17+L17</f>
        <v>0</v>
      </c>
      <c r="M81" s="385">
        <f>K17+L17+M17</f>
        <v>0</v>
      </c>
      <c r="N81" s="385">
        <f>K17+L17+M17+N17</f>
        <v>0</v>
      </c>
      <c r="O81" s="385">
        <f>K17+L17+M17+N17+O17</f>
        <v>0</v>
      </c>
      <c r="P81" s="385">
        <f>K17+L17+M17+N17+O17+P17</f>
        <v>0</v>
      </c>
      <c r="Q81" s="385">
        <f>K17+L17+M17+N17+O17+P17+Q17</f>
        <v>0</v>
      </c>
      <c r="R81" s="385">
        <f>K17+L17+M17+N17+O17+P17+Q17+R17</f>
        <v>0</v>
      </c>
      <c r="S81" s="385">
        <f>K17+L17+M17+N17+O17+P17+Q17+R17+S17</f>
        <v>0</v>
      </c>
      <c r="T81" s="385">
        <f>K17+L17+M17+N17+O17+P17+Q17+R17+S17+T17</f>
        <v>0</v>
      </c>
      <c r="U81" s="385">
        <f>K17+L17+M17+N17+O17+P17+Q17+R17+S17+T17+U17</f>
        <v>0</v>
      </c>
      <c r="V81" s="384">
        <f>K17+L17+M17+N17+O17+P17+Q17+R17+S17+T17+U17+V17</f>
        <v>0</v>
      </c>
    </row>
    <row r="83" spans="7:22" ht="14.25" customHeight="1">
      <c r="G83" s="346" t="s">
        <v>17</v>
      </c>
      <c r="I83" s="346" t="s">
        <v>435</v>
      </c>
      <c r="K83" s="385">
        <f>H19</f>
        <v>0</v>
      </c>
      <c r="L83" s="385">
        <f>K83*2</f>
        <v>0</v>
      </c>
      <c r="M83" s="385">
        <f>K83*3</f>
        <v>0</v>
      </c>
      <c r="N83" s="385">
        <f>K83*4</f>
        <v>0</v>
      </c>
      <c r="O83" s="385">
        <f>K83*5</f>
        <v>0</v>
      </c>
      <c r="P83" s="385">
        <f>K83*6</f>
        <v>0</v>
      </c>
      <c r="Q83" s="385">
        <f>K83*7</f>
        <v>0</v>
      </c>
      <c r="R83" s="385">
        <f>K83*8</f>
        <v>0</v>
      </c>
      <c r="S83" s="385">
        <f>K83*9</f>
        <v>0</v>
      </c>
      <c r="T83" s="385">
        <f>K83*10</f>
        <v>0</v>
      </c>
      <c r="U83" s="385">
        <f>K83*11</f>
        <v>0</v>
      </c>
      <c r="V83" s="384">
        <f>U83</f>
        <v>0</v>
      </c>
    </row>
    <row r="84" spans="9:22" ht="16.5" customHeight="1">
      <c r="I84" s="346" t="s">
        <v>436</v>
      </c>
      <c r="K84" s="346">
        <f>K19</f>
        <v>0</v>
      </c>
      <c r="L84" s="346">
        <f>K19+L19</f>
        <v>0</v>
      </c>
      <c r="M84" s="346">
        <f>K19+L19+M19</f>
        <v>0</v>
      </c>
      <c r="N84" s="346">
        <f>K19+L19+M19+N19</f>
        <v>0</v>
      </c>
      <c r="O84" s="346">
        <f>K19+L19+M19+N19+O19</f>
        <v>0</v>
      </c>
      <c r="P84" s="346">
        <f>K19+L19+M19+N19+O19+P19</f>
        <v>0</v>
      </c>
      <c r="Q84" s="346">
        <f>K19+L19+M19+N19+O19+P19+Q19</f>
        <v>0</v>
      </c>
      <c r="R84" s="346">
        <f>K19+L19+M19+N19+O19+P19+Q19+R19</f>
        <v>0</v>
      </c>
      <c r="S84" s="346">
        <f>K19+L19+M19+N19+O19+P19+Q19+R19+S19</f>
        <v>0</v>
      </c>
      <c r="T84" s="346">
        <f>K19+L19+M19+N19+O19+P19+Q19+R19+S19+T19</f>
        <v>0</v>
      </c>
      <c r="U84" s="346">
        <f>K19+L19+M19+N19+O19+P19+Q19+R19+S19+T19+U19</f>
        <v>0</v>
      </c>
      <c r="V84" s="346">
        <f>K19+L19+M19+N19+O19+P19+Q19+R19+S19+T19+U19+V19</f>
        <v>0</v>
      </c>
    </row>
    <row r="86" spans="7:22" ht="25.5">
      <c r="G86" s="346" t="s">
        <v>18</v>
      </c>
      <c r="I86" s="346" t="s">
        <v>435</v>
      </c>
      <c r="K86" s="385">
        <f>H24</f>
        <v>0</v>
      </c>
      <c r="L86" s="385">
        <f>K86*2</f>
        <v>0</v>
      </c>
      <c r="M86" s="385">
        <f>K86*3</f>
        <v>0</v>
      </c>
      <c r="N86" s="385">
        <f>K86*4</f>
        <v>0</v>
      </c>
      <c r="O86" s="385">
        <f>K86*5</f>
        <v>0</v>
      </c>
      <c r="P86" s="385">
        <f>K86*6</f>
        <v>0</v>
      </c>
      <c r="Q86" s="385">
        <f>K86*7</f>
        <v>0</v>
      </c>
      <c r="R86" s="385">
        <f>K86*8</f>
        <v>0</v>
      </c>
      <c r="S86" s="385">
        <f>K86*9</f>
        <v>0</v>
      </c>
      <c r="T86" s="385">
        <f>K86*10</f>
        <v>0</v>
      </c>
      <c r="U86" s="385">
        <f>K86*11</f>
        <v>0</v>
      </c>
      <c r="V86" s="385">
        <f>U86</f>
        <v>0</v>
      </c>
    </row>
    <row r="87" spans="9:22" ht="12.75">
      <c r="I87" s="346" t="s">
        <v>436</v>
      </c>
      <c r="K87" s="346">
        <f>K24</f>
        <v>0</v>
      </c>
      <c r="L87" s="346">
        <f>K24+L24</f>
        <v>0</v>
      </c>
      <c r="M87" s="346">
        <f>K24+L24+M24</f>
        <v>0</v>
      </c>
      <c r="N87" s="346">
        <f>K24+L24+M24+N24</f>
        <v>0</v>
      </c>
      <c r="O87" s="346">
        <f>K24+L24+M24+N24+O24</f>
        <v>0</v>
      </c>
      <c r="P87" s="346">
        <f>K24+L24+M24+N24+O24+P24</f>
        <v>0</v>
      </c>
      <c r="Q87" s="346">
        <f>K24+L24+M24+N24+O24+P24+Q24</f>
        <v>0</v>
      </c>
      <c r="R87" s="346">
        <f>K24+L24+M24+N24+O24+P24+Q24+R24</f>
        <v>0</v>
      </c>
      <c r="S87" s="346">
        <f>K24+L24+M24+N24+O24+P24+Q24+R24+S24</f>
        <v>0</v>
      </c>
      <c r="T87" s="346">
        <f>K24+L24+M24+N24+O24+P24+Q24+R24+S24+T24</f>
        <v>0</v>
      </c>
      <c r="U87" s="346">
        <f>K24+L24+M24+N24+O24+P24+Q24+R24+S24+T24+U24</f>
        <v>0</v>
      </c>
      <c r="V87" s="346">
        <f>K24+L24+M24+N24+O24+P24+Q24+R24+S24+T24+U24+V24</f>
        <v>0</v>
      </c>
    </row>
    <row r="89" spans="11:22" ht="12.75"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</row>
    <row r="92" spans="11:22" ht="12.75"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</row>
    <row r="95" spans="11:22" ht="12.75"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</row>
    <row r="98" spans="11:22" ht="15" customHeight="1">
      <c r="K98" s="385"/>
      <c r="L98" s="385"/>
      <c r="M98" s="385"/>
      <c r="N98" s="385"/>
      <c r="O98" s="385"/>
      <c r="P98" s="385"/>
      <c r="Q98" s="385"/>
      <c r="R98" s="385"/>
      <c r="S98" s="385"/>
      <c r="T98" s="385"/>
      <c r="U98" s="385"/>
      <c r="V98" s="385"/>
    </row>
    <row r="101" spans="11:22" ht="12.75">
      <c r="K101" s="385"/>
      <c r="L101" s="385"/>
      <c r="M101" s="385"/>
      <c r="N101" s="385"/>
      <c r="O101" s="385"/>
      <c r="P101" s="385"/>
      <c r="Q101" s="385"/>
      <c r="R101" s="385"/>
      <c r="S101" s="385"/>
      <c r="T101" s="385"/>
      <c r="U101" s="385"/>
      <c r="V101" s="385"/>
    </row>
    <row r="104" spans="11:22" ht="12.75"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5"/>
      <c r="V104" s="385"/>
    </row>
    <row r="107" spans="11:22" ht="12.75">
      <c r="K107" s="385"/>
      <c r="L107" s="385"/>
      <c r="M107" s="385"/>
      <c r="N107" s="385"/>
      <c r="O107" s="385"/>
      <c r="P107" s="385"/>
      <c r="Q107" s="385"/>
      <c r="R107" s="385"/>
      <c r="S107" s="385"/>
      <c r="T107" s="385"/>
      <c r="U107" s="385"/>
      <c r="V107" s="385"/>
    </row>
    <row r="110" spans="11:22" ht="12.75">
      <c r="K110" s="386"/>
      <c r="L110" s="386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</row>
    <row r="111" ht="12.75">
      <c r="U111" s="385"/>
    </row>
    <row r="113" spans="11:22" ht="12.75">
      <c r="K113" s="385"/>
      <c r="L113" s="385"/>
      <c r="M113" s="385"/>
      <c r="N113" s="385"/>
      <c r="O113" s="385"/>
      <c r="P113" s="385"/>
      <c r="Q113" s="385"/>
      <c r="R113" s="385"/>
      <c r="S113" s="385"/>
      <c r="T113" s="385"/>
      <c r="U113" s="385"/>
      <c r="V113" s="385"/>
    </row>
    <row r="114" ht="12.75">
      <c r="U114" s="385"/>
    </row>
    <row r="116" spans="11:22" ht="16.5" customHeight="1">
      <c r="K116" s="385"/>
      <c r="L116" s="385"/>
      <c r="M116" s="385"/>
      <c r="N116" s="385"/>
      <c r="O116" s="385"/>
      <c r="P116" s="385"/>
      <c r="Q116" s="385"/>
      <c r="R116" s="385"/>
      <c r="S116" s="385"/>
      <c r="T116" s="385"/>
      <c r="U116" s="385"/>
      <c r="V116" s="385"/>
    </row>
    <row r="117" ht="12.75">
      <c r="U117" s="385"/>
    </row>
    <row r="119" spans="11:22" ht="15.75" customHeight="1">
      <c r="K119" s="385"/>
      <c r="L119" s="385"/>
      <c r="M119" s="385"/>
      <c r="N119" s="385"/>
      <c r="O119" s="385"/>
      <c r="P119" s="385"/>
      <c r="Q119" s="385"/>
      <c r="R119" s="385"/>
      <c r="S119" s="385"/>
      <c r="T119" s="385"/>
      <c r="U119" s="385"/>
      <c r="V119" s="385"/>
    </row>
    <row r="120" ht="12.75">
      <c r="U120" s="385"/>
    </row>
    <row r="122" spans="11:22" ht="15.75" customHeight="1">
      <c r="K122" s="385"/>
      <c r="L122" s="385"/>
      <c r="M122" s="385"/>
      <c r="N122" s="385"/>
      <c r="O122" s="385"/>
      <c r="P122" s="385"/>
      <c r="Q122" s="385"/>
      <c r="R122" s="385"/>
      <c r="S122" s="385"/>
      <c r="T122" s="385"/>
      <c r="U122" s="385"/>
      <c r="V122" s="385"/>
    </row>
    <row r="123" ht="12.75">
      <c r="U123" s="385"/>
    </row>
    <row r="125" spans="11:22" ht="14.25" customHeight="1">
      <c r="K125" s="385"/>
      <c r="L125" s="385"/>
      <c r="M125" s="385"/>
      <c r="N125" s="385"/>
      <c r="O125" s="385"/>
      <c r="P125" s="385"/>
      <c r="Q125" s="385"/>
      <c r="R125" s="385"/>
      <c r="S125" s="385"/>
      <c r="T125" s="385"/>
      <c r="U125" s="385"/>
      <c r="V125" s="385"/>
    </row>
    <row r="126" ht="12.75">
      <c r="U126" s="385"/>
    </row>
  </sheetData>
  <sheetProtection sheet="1" objects="1" scenarios="1"/>
  <mergeCells count="118">
    <mergeCell ref="B1:AA1"/>
    <mergeCell ref="B2:AA2"/>
    <mergeCell ref="B4:C6"/>
    <mergeCell ref="E4:I4"/>
    <mergeCell ref="K4:Y4"/>
    <mergeCell ref="AA4:AA5"/>
    <mergeCell ref="E5:E6"/>
    <mergeCell ref="F5:G6"/>
    <mergeCell ref="H5:I6"/>
    <mergeCell ref="X5:Y5"/>
    <mergeCell ref="B8:AA8"/>
    <mergeCell ref="B10:C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X10:X11"/>
    <mergeCell ref="Y10:Y11"/>
    <mergeCell ref="AA10:AA11"/>
    <mergeCell ref="B12:C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X12:X13"/>
    <mergeCell ref="Y12:Y13"/>
    <mergeCell ref="AA12:AA13"/>
    <mergeCell ref="B15:AA15"/>
    <mergeCell ref="B17:C18"/>
    <mergeCell ref="E17:E18"/>
    <mergeCell ref="F17:F18"/>
    <mergeCell ref="G17:G18"/>
    <mergeCell ref="H17:H18"/>
    <mergeCell ref="I17:I18"/>
    <mergeCell ref="K17:K18"/>
    <mergeCell ref="L17:L18"/>
    <mergeCell ref="M19:M20"/>
    <mergeCell ref="U17:U18"/>
    <mergeCell ref="V17:V18"/>
    <mergeCell ref="X17:X18"/>
    <mergeCell ref="Q17:Q18"/>
    <mergeCell ref="R17:R18"/>
    <mergeCell ref="S17:S18"/>
    <mergeCell ref="T17:T18"/>
    <mergeCell ref="M17:M18"/>
    <mergeCell ref="N17:N18"/>
    <mergeCell ref="H19:H20"/>
    <mergeCell ref="I19:I20"/>
    <mergeCell ref="K19:K20"/>
    <mergeCell ref="L19:L20"/>
    <mergeCell ref="B19:C20"/>
    <mergeCell ref="E19:E20"/>
    <mergeCell ref="F19:F20"/>
    <mergeCell ref="G19:G20"/>
    <mergeCell ref="O19:O20"/>
    <mergeCell ref="P19:P20"/>
    <mergeCell ref="Q19:Q20"/>
    <mergeCell ref="AA17:AA18"/>
    <mergeCell ref="Y17:Y18"/>
    <mergeCell ref="O17:O18"/>
    <mergeCell ref="P17:P18"/>
    <mergeCell ref="B22:AA22"/>
    <mergeCell ref="V19:V20"/>
    <mergeCell ref="X19:X20"/>
    <mergeCell ref="Y19:Y20"/>
    <mergeCell ref="AA19:AA20"/>
    <mergeCell ref="R19:R20"/>
    <mergeCell ref="S19:S20"/>
    <mergeCell ref="T19:T20"/>
    <mergeCell ref="U19:U20"/>
    <mergeCell ref="N19:N20"/>
    <mergeCell ref="B24:C25"/>
    <mergeCell ref="E24:E25"/>
    <mergeCell ref="F24:F25"/>
    <mergeCell ref="G24:G25"/>
    <mergeCell ref="H24:H25"/>
    <mergeCell ref="I24:I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AA24:AA25"/>
    <mergeCell ref="U24:U25"/>
    <mergeCell ref="V24:V25"/>
    <mergeCell ref="X24:X25"/>
    <mergeCell ref="Y24:Y25"/>
  </mergeCells>
  <printOptions/>
  <pageMargins left="0.75" right="0.75" top="1" bottom="1" header="0.492125985" footer="0.49212598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B5" sqref="B5"/>
    </sheetView>
  </sheetViews>
  <sheetFormatPr defaultColWidth="9.140625" defaultRowHeight="12.75"/>
  <cols>
    <col min="1" max="1" width="1.7109375" style="387" customWidth="1"/>
    <col min="2" max="2" width="40.57421875" style="387" customWidth="1"/>
    <col min="3" max="3" width="14.140625" style="387" customWidth="1"/>
    <col min="4" max="4" width="1.57421875" style="387" customWidth="1"/>
    <col min="5" max="5" width="44.00390625" style="387" customWidth="1"/>
    <col min="6" max="6" width="8.421875" style="387" customWidth="1"/>
    <col min="7" max="16384" width="9.140625" style="387" customWidth="1"/>
  </cols>
  <sheetData>
    <row r="1" ht="13.5" thickBot="1"/>
    <row r="2" spans="1:6" ht="12.75">
      <c r="A2" s="388"/>
      <c r="B2" s="700" t="s">
        <v>412</v>
      </c>
      <c r="C2" s="701"/>
      <c r="D2" s="389"/>
      <c r="E2" s="700" t="s">
        <v>437</v>
      </c>
      <c r="F2" s="701"/>
    </row>
    <row r="3" spans="1:6" ht="12.75">
      <c r="A3" s="388"/>
      <c r="B3" s="702"/>
      <c r="C3" s="703"/>
      <c r="D3" s="389"/>
      <c r="E3" s="702"/>
      <c r="F3" s="703"/>
    </row>
    <row r="4" spans="1:6" ht="12.75">
      <c r="A4" s="388"/>
      <c r="B4" s="704"/>
      <c r="C4" s="705"/>
      <c r="D4" s="389"/>
      <c r="E4" s="704"/>
      <c r="F4" s="705"/>
    </row>
    <row r="6" spans="2:6" ht="47.25" customHeight="1">
      <c r="B6" s="668" t="s">
        <v>431</v>
      </c>
      <c r="C6" s="669"/>
      <c r="D6" s="390"/>
      <c r="E6" s="391" t="s">
        <v>0</v>
      </c>
      <c r="F6" s="718" t="s">
        <v>438</v>
      </c>
    </row>
    <row r="7" spans="2:6" ht="47.25" customHeight="1">
      <c r="B7" s="610"/>
      <c r="C7" s="444"/>
      <c r="D7" s="390"/>
      <c r="E7" s="392" t="s">
        <v>1</v>
      </c>
      <c r="F7" s="721"/>
    </row>
    <row r="8" spans="2:6" ht="53.25" customHeight="1">
      <c r="B8" s="684" t="s">
        <v>440</v>
      </c>
      <c r="C8" s="685"/>
      <c r="D8" s="390"/>
      <c r="E8" s="393" t="s">
        <v>441</v>
      </c>
      <c r="F8" s="720" t="s">
        <v>438</v>
      </c>
    </row>
    <row r="9" spans="2:6" ht="53.25" customHeight="1">
      <c r="B9" s="663"/>
      <c r="C9" s="670"/>
      <c r="D9" s="390"/>
      <c r="E9" s="394" t="s">
        <v>442</v>
      </c>
      <c r="F9" s="719"/>
    </row>
    <row r="11" spans="2:6" ht="36" customHeight="1">
      <c r="B11" s="668" t="s">
        <v>433</v>
      </c>
      <c r="C11" s="669"/>
      <c r="D11" s="395"/>
      <c r="E11" s="391" t="s">
        <v>2</v>
      </c>
      <c r="F11" s="718" t="s">
        <v>438</v>
      </c>
    </row>
    <row r="12" spans="2:6" ht="36" customHeight="1">
      <c r="B12" s="610"/>
      <c r="C12" s="444"/>
      <c r="D12" s="390"/>
      <c r="E12" s="392" t="s">
        <v>3</v>
      </c>
      <c r="F12" s="718"/>
    </row>
    <row r="13" spans="2:6" ht="51" customHeight="1">
      <c r="B13" s="684" t="s">
        <v>434</v>
      </c>
      <c r="C13" s="685"/>
      <c r="D13" s="395"/>
      <c r="E13" s="393" t="s">
        <v>8</v>
      </c>
      <c r="F13" s="720" t="s">
        <v>438</v>
      </c>
    </row>
    <row r="14" spans="2:6" ht="51" customHeight="1">
      <c r="B14" s="663"/>
      <c r="C14" s="670"/>
      <c r="D14" s="390"/>
      <c r="E14" s="392" t="s">
        <v>9</v>
      </c>
      <c r="F14" s="718"/>
    </row>
    <row r="15" spans="2:6" ht="12.75" customHeight="1">
      <c r="B15" s="396"/>
      <c r="C15" s="396"/>
      <c r="D15" s="397"/>
      <c r="E15" s="398"/>
      <c r="F15" s="398"/>
    </row>
    <row r="16" spans="2:6" ht="47.25" customHeight="1">
      <c r="B16" s="684" t="s">
        <v>12</v>
      </c>
      <c r="C16" s="685"/>
      <c r="D16" s="390"/>
      <c r="E16" s="391" t="s">
        <v>10</v>
      </c>
      <c r="F16" s="718" t="s">
        <v>438</v>
      </c>
    </row>
    <row r="17" spans="2:6" ht="47.25" customHeight="1">
      <c r="B17" s="663"/>
      <c r="C17" s="670"/>
      <c r="D17" s="390"/>
      <c r="E17" s="394" t="s">
        <v>11</v>
      </c>
      <c r="F17" s="719"/>
    </row>
  </sheetData>
  <sheetProtection sheet="1" objects="1" scenarios="1"/>
  <mergeCells count="12">
    <mergeCell ref="B2:C4"/>
    <mergeCell ref="E2:F4"/>
    <mergeCell ref="B6:C7"/>
    <mergeCell ref="F6:F7"/>
    <mergeCell ref="B8:C9"/>
    <mergeCell ref="F8:F9"/>
    <mergeCell ref="B11:C12"/>
    <mergeCell ref="F11:F12"/>
    <mergeCell ref="B16:C17"/>
    <mergeCell ref="F16:F17"/>
    <mergeCell ref="B13:C14"/>
    <mergeCell ref="F13:F14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387" customWidth="1"/>
    <col min="2" max="16384" width="9.140625" style="387" customWidth="1"/>
  </cols>
  <sheetData>
    <row r="1" ht="15" customHeight="1" thickBot="1"/>
    <row r="2" spans="2:17" ht="24.75" customHeight="1">
      <c r="B2" s="429" t="s">
        <v>20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399"/>
    </row>
    <row r="3" ht="15" customHeight="1"/>
  </sheetData>
  <sheetProtection sheet="1" objects="1" scenarios="1"/>
  <mergeCells count="1">
    <mergeCell ref="B2:P2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2:B6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7109375" style="62" customWidth="1"/>
    <col min="2" max="2" width="96.57421875" style="62" customWidth="1"/>
    <col min="3" max="16384" width="9.140625" style="62" customWidth="1"/>
  </cols>
  <sheetData>
    <row r="1" ht="9.75" customHeight="1" thickBot="1"/>
    <row r="2" ht="32.25" customHeight="1">
      <c r="B2" s="403" t="s">
        <v>266</v>
      </c>
    </row>
    <row r="3" ht="9.75" customHeight="1" thickBot="1">
      <c r="B3" s="63"/>
    </row>
    <row r="4" ht="38.25" customHeight="1">
      <c r="B4" s="404" t="s">
        <v>439</v>
      </c>
    </row>
    <row r="5" ht="9.75" customHeight="1">
      <c r="B5" s="68"/>
    </row>
    <row r="6" spans="1:2" s="56" customFormat="1" ht="30" customHeight="1">
      <c r="A6" s="62"/>
      <c r="B6" s="69" t="s">
        <v>400</v>
      </c>
    </row>
    <row r="7" spans="1:2" s="56" customFormat="1" ht="30" customHeight="1">
      <c r="A7" s="62"/>
      <c r="B7" s="69" t="s">
        <v>401</v>
      </c>
    </row>
    <row r="8" spans="1:2" s="56" customFormat="1" ht="30" customHeight="1">
      <c r="A8" s="62"/>
      <c r="B8" s="69" t="s">
        <v>402</v>
      </c>
    </row>
    <row r="9" s="69" customFormat="1" ht="34.5" customHeight="1">
      <c r="B9" s="69" t="s">
        <v>378</v>
      </c>
    </row>
    <row r="10" s="69" customFormat="1" ht="34.5" customHeight="1">
      <c r="B10" s="69" t="s">
        <v>379</v>
      </c>
    </row>
    <row r="11" s="69" customFormat="1" ht="34.5" customHeight="1">
      <c r="B11" s="69" t="s">
        <v>380</v>
      </c>
    </row>
    <row r="12" s="69" customFormat="1" ht="45" customHeight="1">
      <c r="B12" s="69" t="s">
        <v>381</v>
      </c>
    </row>
    <row r="13" s="69" customFormat="1" ht="33" customHeight="1">
      <c r="B13" s="69" t="s">
        <v>382</v>
      </c>
    </row>
    <row r="14" s="69" customFormat="1" ht="9.75" customHeight="1" thickBot="1"/>
    <row r="15" s="69" customFormat="1" ht="24.75" customHeight="1">
      <c r="B15" s="70" t="s">
        <v>358</v>
      </c>
    </row>
    <row r="16" s="69" customFormat="1" ht="24.75" customHeight="1">
      <c r="B16" s="69" t="s">
        <v>383</v>
      </c>
    </row>
    <row r="17" s="69" customFormat="1" ht="34.5" customHeight="1">
      <c r="B17" s="69" t="s">
        <v>384</v>
      </c>
    </row>
    <row r="18" s="69" customFormat="1" ht="34.5" customHeight="1">
      <c r="B18" s="69" t="s">
        <v>385</v>
      </c>
    </row>
    <row r="19" s="69" customFormat="1" ht="45" customHeight="1">
      <c r="B19" s="69" t="s">
        <v>386</v>
      </c>
    </row>
    <row r="20" s="69" customFormat="1" ht="9.75" customHeight="1" thickBot="1"/>
    <row r="21" s="69" customFormat="1" ht="24.75" customHeight="1">
      <c r="B21" s="70" t="s">
        <v>357</v>
      </c>
    </row>
    <row r="22" s="69" customFormat="1" ht="34.5" customHeight="1">
      <c r="B22" s="69" t="s">
        <v>387</v>
      </c>
    </row>
    <row r="23" s="69" customFormat="1" ht="24.75" customHeight="1">
      <c r="B23" s="69" t="s">
        <v>388</v>
      </c>
    </row>
    <row r="24" s="69" customFormat="1" ht="34.5" customHeight="1">
      <c r="B24" s="69" t="s">
        <v>389</v>
      </c>
    </row>
    <row r="25" s="69" customFormat="1" ht="24.75" customHeight="1">
      <c r="B25" s="69" t="s">
        <v>390</v>
      </c>
    </row>
    <row r="26" s="69" customFormat="1" ht="9.75" customHeight="1" thickBot="1"/>
    <row r="27" s="69" customFormat="1" ht="24.75" customHeight="1">
      <c r="B27" s="70" t="s">
        <v>359</v>
      </c>
    </row>
    <row r="28" s="69" customFormat="1" ht="9.75" customHeight="1">
      <c r="B28" s="71"/>
    </row>
    <row r="29" s="69" customFormat="1" ht="24.75" customHeight="1">
      <c r="B29" s="71" t="s">
        <v>354</v>
      </c>
    </row>
    <row r="30" s="69" customFormat="1" ht="25.5">
      <c r="B30" s="72" t="s">
        <v>373</v>
      </c>
    </row>
    <row r="31" s="69" customFormat="1" ht="25.5">
      <c r="B31" s="72" t="s">
        <v>368</v>
      </c>
    </row>
    <row r="32" s="69" customFormat="1" ht="33.75" customHeight="1">
      <c r="B32" s="72" t="s">
        <v>369</v>
      </c>
    </row>
    <row r="33" s="69" customFormat="1" ht="31.5" customHeight="1">
      <c r="B33" s="72" t="s">
        <v>374</v>
      </c>
    </row>
    <row r="34" s="69" customFormat="1" ht="25.5">
      <c r="B34" s="72" t="s">
        <v>375</v>
      </c>
    </row>
    <row r="35" s="69" customFormat="1" ht="24.75" customHeight="1">
      <c r="B35" s="72" t="s">
        <v>360</v>
      </c>
    </row>
    <row r="36" s="69" customFormat="1" ht="12.75">
      <c r="B36" s="72" t="s">
        <v>361</v>
      </c>
    </row>
    <row r="37" s="69" customFormat="1" ht="51">
      <c r="B37" s="72" t="s">
        <v>362</v>
      </c>
    </row>
    <row r="38" s="69" customFormat="1" ht="119.25" customHeight="1">
      <c r="B38" s="73" t="s">
        <v>391</v>
      </c>
    </row>
    <row r="39" s="69" customFormat="1" ht="9.75" customHeight="1" thickBot="1">
      <c r="B39" s="71"/>
    </row>
    <row r="40" s="69" customFormat="1" ht="24.75" customHeight="1">
      <c r="B40" s="70" t="s">
        <v>372</v>
      </c>
    </row>
    <row r="41" s="69" customFormat="1" ht="9.75" customHeight="1">
      <c r="B41" s="71"/>
    </row>
    <row r="42" s="69" customFormat="1" ht="45" customHeight="1">
      <c r="B42" s="69" t="s">
        <v>392</v>
      </c>
    </row>
    <row r="43" s="69" customFormat="1" ht="54.75" customHeight="1">
      <c r="B43" s="69" t="s">
        <v>393</v>
      </c>
    </row>
    <row r="44" s="69" customFormat="1" ht="24.75" customHeight="1">
      <c r="B44" s="71" t="s">
        <v>355</v>
      </c>
    </row>
    <row r="45" s="69" customFormat="1" ht="25.5">
      <c r="B45" s="72" t="s">
        <v>363</v>
      </c>
    </row>
    <row r="46" s="69" customFormat="1" ht="25.5">
      <c r="B46" s="72" t="s">
        <v>370</v>
      </c>
    </row>
    <row r="47" s="69" customFormat="1" ht="25.5">
      <c r="B47" s="72" t="s">
        <v>371</v>
      </c>
    </row>
    <row r="48" s="69" customFormat="1" ht="25.5">
      <c r="B48" s="72" t="s">
        <v>367</v>
      </c>
    </row>
    <row r="49" s="69" customFormat="1" ht="25.5">
      <c r="B49" s="72" t="s">
        <v>366</v>
      </c>
    </row>
    <row r="50" s="69" customFormat="1" ht="12.75">
      <c r="B50" s="72" t="s">
        <v>364</v>
      </c>
    </row>
    <row r="51" s="69" customFormat="1" ht="12.75">
      <c r="B51" s="72" t="s">
        <v>365</v>
      </c>
    </row>
    <row r="52" s="69" customFormat="1" ht="24.75" customHeight="1" thickBot="1">
      <c r="B52" s="71"/>
    </row>
    <row r="53" s="69" customFormat="1" ht="24.75" customHeight="1">
      <c r="B53" s="70" t="s">
        <v>376</v>
      </c>
    </row>
    <row r="54" s="69" customFormat="1" ht="9.75" customHeight="1">
      <c r="B54" s="71"/>
    </row>
    <row r="55" s="69" customFormat="1" ht="45" customHeight="1">
      <c r="B55" s="69" t="s">
        <v>392</v>
      </c>
    </row>
    <row r="56" s="69" customFormat="1" ht="54.75" customHeight="1">
      <c r="B56" s="69" t="s">
        <v>393</v>
      </c>
    </row>
    <row r="57" s="69" customFormat="1" ht="9.75" customHeight="1" thickBot="1"/>
    <row r="58" ht="24.75" customHeight="1">
      <c r="B58" s="70" t="s">
        <v>377</v>
      </c>
    </row>
    <row r="59" ht="9.75" customHeight="1">
      <c r="B59" s="74"/>
    </row>
    <row r="60" ht="30.75" customHeight="1">
      <c r="B60" s="69" t="s">
        <v>356</v>
      </c>
    </row>
    <row r="61" ht="54.75" customHeight="1">
      <c r="B61" s="69" t="s">
        <v>394</v>
      </c>
    </row>
    <row r="62" ht="24.75" customHeight="1">
      <c r="B62" s="69" t="s">
        <v>395</v>
      </c>
    </row>
    <row r="63" ht="34.5" customHeight="1">
      <c r="B63" s="69" t="s">
        <v>396</v>
      </c>
    </row>
    <row r="64" ht="45" customHeight="1">
      <c r="B64" s="69" t="s">
        <v>397</v>
      </c>
    </row>
    <row r="65" ht="34.5" customHeight="1">
      <c r="B65" s="69" t="s">
        <v>398</v>
      </c>
    </row>
    <row r="66" ht="54.75" customHeight="1">
      <c r="B66" s="69" t="s">
        <v>399</v>
      </c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 sheet="1" objects="1" scenarios="1"/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J5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0.7109375" style="76" customWidth="1"/>
    <col min="2" max="2" width="5.7109375" style="76" customWidth="1"/>
    <col min="3" max="3" width="28.7109375" style="76" customWidth="1"/>
    <col min="4" max="4" width="12.7109375" style="76" customWidth="1"/>
    <col min="5" max="6" width="18.7109375" style="76" customWidth="1"/>
    <col min="7" max="8" width="12.7109375" style="76" customWidth="1"/>
    <col min="9" max="16384" width="9.140625" style="76" customWidth="1"/>
  </cols>
  <sheetData>
    <row r="1" spans="1:9" ht="15" customHeight="1" thickBot="1">
      <c r="A1" s="75"/>
      <c r="B1" s="75"/>
      <c r="C1" s="75"/>
      <c r="D1" s="75"/>
      <c r="E1" s="75"/>
      <c r="F1" s="75"/>
      <c r="G1" s="75"/>
      <c r="H1" s="75"/>
      <c r="I1" s="75"/>
    </row>
    <row r="2" spans="2:9" ht="34.5" customHeight="1">
      <c r="B2" s="463" t="s">
        <v>290</v>
      </c>
      <c r="C2" s="464"/>
      <c r="D2" s="464"/>
      <c r="E2" s="464"/>
      <c r="F2" s="464"/>
      <c r="G2" s="464"/>
      <c r="H2" s="465"/>
      <c r="I2" s="77"/>
    </row>
    <row r="3" spans="1:9" ht="18" customHeight="1" thickBot="1">
      <c r="A3" s="75"/>
      <c r="B3" s="75"/>
      <c r="C3" s="468"/>
      <c r="D3" s="468"/>
      <c r="E3" s="468"/>
      <c r="F3" s="468"/>
      <c r="G3" s="468"/>
      <c r="H3" s="468"/>
      <c r="I3" s="78"/>
    </row>
    <row r="4" spans="2:9" ht="29.25" customHeight="1">
      <c r="B4" s="466" t="s">
        <v>190</v>
      </c>
      <c r="C4" s="467"/>
      <c r="D4" s="467"/>
      <c r="E4" s="70" t="s">
        <v>311</v>
      </c>
      <c r="F4" s="79" t="s">
        <v>312</v>
      </c>
      <c r="G4" s="79" t="s">
        <v>211</v>
      </c>
      <c r="H4" s="80" t="s">
        <v>191</v>
      </c>
      <c r="I4" s="81"/>
    </row>
    <row r="5" spans="1:9" ht="9.75" customHeight="1" thickBot="1">
      <c r="A5" s="75"/>
      <c r="B5" s="75"/>
      <c r="C5" s="74"/>
      <c r="D5" s="74"/>
      <c r="E5" s="74"/>
      <c r="F5" s="74"/>
      <c r="G5" s="74"/>
      <c r="H5" s="74"/>
      <c r="I5" s="75"/>
    </row>
    <row r="6" spans="2:8" ht="21.75" customHeight="1">
      <c r="B6" s="506" t="s">
        <v>243</v>
      </c>
      <c r="C6" s="469" t="s">
        <v>192</v>
      </c>
      <c r="D6" s="453"/>
      <c r="E6" s="14"/>
      <c r="F6" s="15"/>
      <c r="G6" s="83">
        <f>SUM(E6:F6)</f>
        <v>0</v>
      </c>
      <c r="H6" s="84" t="e">
        <f>G6*100/G$33</f>
        <v>#DIV/0!</v>
      </c>
    </row>
    <row r="7" spans="2:8" ht="21.75" customHeight="1">
      <c r="B7" s="507"/>
      <c r="C7" s="454" t="s">
        <v>193</v>
      </c>
      <c r="D7" s="455"/>
      <c r="E7" s="16"/>
      <c r="F7" s="17"/>
      <c r="G7" s="85">
        <f aca="true" t="shared" si="0" ref="G7:G30">SUM(E7:F7)</f>
        <v>0</v>
      </c>
      <c r="H7" s="86" t="e">
        <f aca="true" t="shared" si="1" ref="H7:H30">G7*100/G$33</f>
        <v>#DIV/0!</v>
      </c>
    </row>
    <row r="8" spans="2:8" ht="21.75" customHeight="1">
      <c r="B8" s="507"/>
      <c r="C8" s="456" t="s">
        <v>194</v>
      </c>
      <c r="D8" s="457"/>
      <c r="E8" s="16"/>
      <c r="F8" s="17"/>
      <c r="G8" s="83">
        <f t="shared" si="0"/>
        <v>0</v>
      </c>
      <c r="H8" s="87" t="e">
        <f t="shared" si="1"/>
        <v>#DIV/0!</v>
      </c>
    </row>
    <row r="9" spans="2:8" ht="21.75" customHeight="1">
      <c r="B9" s="507"/>
      <c r="C9" s="487" t="s">
        <v>195</v>
      </c>
      <c r="D9" s="458"/>
      <c r="E9" s="18"/>
      <c r="F9" s="19"/>
      <c r="G9" s="88">
        <f t="shared" si="0"/>
        <v>0</v>
      </c>
      <c r="H9" s="89" t="e">
        <f t="shared" si="1"/>
        <v>#DIV/0!</v>
      </c>
    </row>
    <row r="10" spans="2:9" ht="21.75" customHeight="1">
      <c r="B10" s="508"/>
      <c r="C10" s="512" t="s">
        <v>291</v>
      </c>
      <c r="D10" s="512"/>
      <c r="E10" s="11">
        <f>SUM(E6:E9)</f>
        <v>0</v>
      </c>
      <c r="F10" s="11">
        <f>SUM(F6:F9)</f>
        <v>0</v>
      </c>
      <c r="G10" s="91">
        <f>SUM(G6:G9)</f>
        <v>0</v>
      </c>
      <c r="H10" s="92" t="e">
        <f>G10*100/G33</f>
        <v>#DIV/0!</v>
      </c>
      <c r="I10" s="81"/>
    </row>
    <row r="11" spans="2:9" ht="9.75" customHeight="1" thickBot="1">
      <c r="B11" s="93"/>
      <c r="C11" s="31"/>
      <c r="D11" s="31"/>
      <c r="E11" s="31"/>
      <c r="F11" s="94"/>
      <c r="G11" s="94"/>
      <c r="H11" s="95"/>
      <c r="I11" s="75"/>
    </row>
    <row r="12" spans="2:8" ht="21.75" customHeight="1">
      <c r="B12" s="509" t="s">
        <v>310</v>
      </c>
      <c r="C12" s="469" t="s">
        <v>196</v>
      </c>
      <c r="D12" s="453"/>
      <c r="E12" s="14"/>
      <c r="F12" s="15"/>
      <c r="G12" s="96">
        <f t="shared" si="0"/>
        <v>0</v>
      </c>
      <c r="H12" s="97" t="e">
        <f t="shared" si="1"/>
        <v>#DIV/0!</v>
      </c>
    </row>
    <row r="13" spans="2:8" ht="21.75" customHeight="1">
      <c r="B13" s="510"/>
      <c r="C13" s="487" t="s">
        <v>197</v>
      </c>
      <c r="D13" s="458"/>
      <c r="E13" s="18"/>
      <c r="F13" s="19"/>
      <c r="G13" s="98">
        <f t="shared" si="0"/>
        <v>0</v>
      </c>
      <c r="H13" s="87" t="e">
        <f t="shared" si="1"/>
        <v>#DIV/0!</v>
      </c>
    </row>
    <row r="14" spans="2:9" ht="21.75" customHeight="1">
      <c r="B14" s="511"/>
      <c r="C14" s="485" t="s">
        <v>292</v>
      </c>
      <c r="D14" s="485"/>
      <c r="E14" s="11">
        <f>SUM(E12:E13)</f>
        <v>0</v>
      </c>
      <c r="F14" s="11">
        <f>SUM(F12:F13)</f>
        <v>0</v>
      </c>
      <c r="G14" s="99">
        <f>SUM(G12:G13)</f>
        <v>0</v>
      </c>
      <c r="H14" s="92" t="e">
        <f>G14*100/G33</f>
        <v>#DIV/0!</v>
      </c>
      <c r="I14" s="81"/>
    </row>
    <row r="15" spans="2:9" ht="9.75" customHeight="1" thickBot="1">
      <c r="B15" s="100"/>
      <c r="C15" s="31"/>
      <c r="D15" s="31"/>
      <c r="E15" s="31"/>
      <c r="F15" s="94"/>
      <c r="G15" s="94"/>
      <c r="H15" s="95"/>
      <c r="I15" s="75"/>
    </row>
    <row r="16" spans="2:10" ht="21.75" customHeight="1">
      <c r="B16" s="506" t="s">
        <v>103</v>
      </c>
      <c r="C16" s="469" t="s">
        <v>198</v>
      </c>
      <c r="D16" s="442"/>
      <c r="E16" s="14"/>
      <c r="F16" s="15"/>
      <c r="G16" s="96">
        <f t="shared" si="0"/>
        <v>0</v>
      </c>
      <c r="H16" s="97" t="e">
        <f t="shared" si="1"/>
        <v>#DIV/0!</v>
      </c>
      <c r="I16" s="81"/>
      <c r="J16" s="101"/>
    </row>
    <row r="17" spans="2:10" ht="21.75" customHeight="1">
      <c r="B17" s="507"/>
      <c r="C17" s="443" t="s">
        <v>199</v>
      </c>
      <c r="D17" s="458"/>
      <c r="E17" s="16"/>
      <c r="F17" s="17"/>
      <c r="G17" s="85">
        <f t="shared" si="0"/>
        <v>0</v>
      </c>
      <c r="H17" s="103" t="e">
        <f t="shared" si="1"/>
        <v>#DIV/0!</v>
      </c>
      <c r="J17" s="101"/>
    </row>
    <row r="18" spans="2:10" ht="21.75" customHeight="1">
      <c r="B18" s="507"/>
      <c r="C18" s="443" t="s">
        <v>200</v>
      </c>
      <c r="D18" s="458"/>
      <c r="E18" s="16"/>
      <c r="F18" s="17"/>
      <c r="G18" s="85">
        <f t="shared" si="0"/>
        <v>0</v>
      </c>
      <c r="H18" s="103" t="e">
        <f t="shared" si="1"/>
        <v>#DIV/0!</v>
      </c>
      <c r="J18" s="101"/>
    </row>
    <row r="19" spans="2:8" ht="21.75" customHeight="1">
      <c r="B19" s="507"/>
      <c r="C19" s="443" t="s">
        <v>201</v>
      </c>
      <c r="D19" s="458"/>
      <c r="E19" s="16"/>
      <c r="F19" s="17"/>
      <c r="G19" s="85">
        <f t="shared" si="0"/>
        <v>0</v>
      </c>
      <c r="H19" s="103" t="e">
        <f t="shared" si="1"/>
        <v>#DIV/0!</v>
      </c>
    </row>
    <row r="20" spans="2:10" ht="21.75" customHeight="1">
      <c r="B20" s="507"/>
      <c r="C20" s="443" t="s">
        <v>202</v>
      </c>
      <c r="D20" s="458"/>
      <c r="E20" s="16"/>
      <c r="F20" s="17"/>
      <c r="G20" s="85">
        <f t="shared" si="0"/>
        <v>0</v>
      </c>
      <c r="H20" s="103" t="e">
        <f t="shared" si="1"/>
        <v>#DIV/0!</v>
      </c>
      <c r="J20" s="101"/>
    </row>
    <row r="21" spans="2:8" ht="21.75" customHeight="1">
      <c r="B21" s="507"/>
      <c r="C21" s="487" t="s">
        <v>203</v>
      </c>
      <c r="D21" s="458"/>
      <c r="E21" s="16"/>
      <c r="F21" s="17"/>
      <c r="G21" s="85">
        <f t="shared" si="0"/>
        <v>0</v>
      </c>
      <c r="H21" s="103" t="e">
        <f t="shared" si="1"/>
        <v>#DIV/0!</v>
      </c>
    </row>
    <row r="22" spans="2:8" ht="21.75" customHeight="1">
      <c r="B22" s="507"/>
      <c r="C22" s="487" t="s">
        <v>204</v>
      </c>
      <c r="D22" s="458"/>
      <c r="E22" s="16"/>
      <c r="F22" s="17"/>
      <c r="G22" s="85">
        <f t="shared" si="0"/>
        <v>0</v>
      </c>
      <c r="H22" s="103" t="e">
        <f t="shared" si="1"/>
        <v>#DIV/0!</v>
      </c>
    </row>
    <row r="23" spans="2:8" ht="21.75" customHeight="1">
      <c r="B23" s="507"/>
      <c r="C23" s="487" t="s">
        <v>205</v>
      </c>
      <c r="D23" s="477"/>
      <c r="E23" s="18"/>
      <c r="F23" s="19"/>
      <c r="G23" s="88">
        <f t="shared" si="0"/>
        <v>0</v>
      </c>
      <c r="H23" s="103" t="e">
        <f t="shared" si="1"/>
        <v>#DIV/0!</v>
      </c>
    </row>
    <row r="24" spans="2:8" ht="21.75" customHeight="1">
      <c r="B24" s="508"/>
      <c r="C24" s="485" t="s">
        <v>293</v>
      </c>
      <c r="D24" s="485"/>
      <c r="E24" s="13">
        <f>SUM(E16:E23)</f>
        <v>0</v>
      </c>
      <c r="F24" s="11">
        <f>SUM(F16:F23)</f>
        <v>0</v>
      </c>
      <c r="G24" s="12">
        <f>SUM(G16:G23)</f>
        <v>0</v>
      </c>
      <c r="H24" s="104" t="e">
        <f>G24*100/G33</f>
        <v>#DIV/0!</v>
      </c>
    </row>
    <row r="25" spans="2:8" ht="9.75" customHeight="1" thickBot="1">
      <c r="B25" s="93"/>
      <c r="C25" s="31"/>
      <c r="D25" s="31"/>
      <c r="E25" s="31"/>
      <c r="F25" s="94"/>
      <c r="G25" s="94"/>
      <c r="H25" s="95"/>
    </row>
    <row r="26" spans="2:8" ht="21.75" customHeight="1">
      <c r="B26" s="506" t="s">
        <v>131</v>
      </c>
      <c r="C26" s="444" t="s">
        <v>206</v>
      </c>
      <c r="D26" s="453"/>
      <c r="E26" s="14"/>
      <c r="F26" s="15"/>
      <c r="G26" s="98">
        <f t="shared" si="0"/>
        <v>0</v>
      </c>
      <c r="H26" s="84" t="e">
        <f t="shared" si="1"/>
        <v>#DIV/0!</v>
      </c>
    </row>
    <row r="27" spans="2:8" ht="21.75" customHeight="1">
      <c r="B27" s="507"/>
      <c r="C27" s="443" t="s">
        <v>207</v>
      </c>
      <c r="D27" s="458"/>
      <c r="E27" s="16"/>
      <c r="F27" s="17"/>
      <c r="G27" s="40">
        <f t="shared" si="0"/>
        <v>0</v>
      </c>
      <c r="H27" s="87" t="e">
        <f t="shared" si="1"/>
        <v>#DIV/0!</v>
      </c>
    </row>
    <row r="28" spans="2:8" ht="21.75" customHeight="1">
      <c r="B28" s="507"/>
      <c r="C28" s="443" t="s">
        <v>208</v>
      </c>
      <c r="D28" s="458"/>
      <c r="E28" s="16"/>
      <c r="F28" s="17"/>
      <c r="G28" s="40">
        <f t="shared" si="0"/>
        <v>0</v>
      </c>
      <c r="H28" s="87" t="e">
        <f t="shared" si="1"/>
        <v>#DIV/0!</v>
      </c>
    </row>
    <row r="29" spans="2:8" ht="21.75" customHeight="1">
      <c r="B29" s="507"/>
      <c r="C29" s="443" t="s">
        <v>209</v>
      </c>
      <c r="D29" s="458"/>
      <c r="E29" s="16"/>
      <c r="F29" s="17"/>
      <c r="G29" s="40">
        <f t="shared" si="0"/>
        <v>0</v>
      </c>
      <c r="H29" s="87" t="e">
        <f t="shared" si="1"/>
        <v>#DIV/0!</v>
      </c>
    </row>
    <row r="30" spans="2:8" ht="21.75" customHeight="1">
      <c r="B30" s="507"/>
      <c r="C30" s="487" t="s">
        <v>210</v>
      </c>
      <c r="D30" s="477"/>
      <c r="E30" s="18"/>
      <c r="F30" s="19"/>
      <c r="G30" s="88">
        <f t="shared" si="0"/>
        <v>0</v>
      </c>
      <c r="H30" s="87" t="e">
        <f t="shared" si="1"/>
        <v>#DIV/0!</v>
      </c>
    </row>
    <row r="31" spans="2:8" ht="21.75" customHeight="1">
      <c r="B31" s="508"/>
      <c r="C31" s="460" t="s">
        <v>294</v>
      </c>
      <c r="D31" s="485"/>
      <c r="E31" s="11">
        <f>SUM(E26:E30)</f>
        <v>0</v>
      </c>
      <c r="F31" s="12">
        <f>SUM(F26:F30)</f>
        <v>0</v>
      </c>
      <c r="G31" s="12">
        <f>SUM(G26:G30)</f>
        <v>0</v>
      </c>
      <c r="H31" s="106" t="e">
        <f>G31*100/G33</f>
        <v>#DIV/0!</v>
      </c>
    </row>
    <row r="32" spans="3:9" ht="9.75" customHeight="1">
      <c r="C32" s="31"/>
      <c r="D32" s="31"/>
      <c r="E32" s="31"/>
      <c r="F32" s="94"/>
      <c r="G32" s="94"/>
      <c r="H32" s="95"/>
      <c r="I32" s="75"/>
    </row>
    <row r="33" spans="2:9" ht="21.75" customHeight="1">
      <c r="B33" s="460" t="s">
        <v>211</v>
      </c>
      <c r="C33" s="485"/>
      <c r="D33" s="485"/>
      <c r="E33" s="107">
        <f>SUM(E10,E14,E24,E31)</f>
        <v>0</v>
      </c>
      <c r="F33" s="107">
        <f>SUM(F10,F14,F24,F31)</f>
        <v>0</v>
      </c>
      <c r="G33" s="107">
        <f>SUM(G10,G14,G24,G31)</f>
        <v>0</v>
      </c>
      <c r="H33" s="108" t="e">
        <f>SUM(H10,H14,H24,H31)</f>
        <v>#DIV/0!</v>
      </c>
      <c r="I33" s="81"/>
    </row>
    <row r="34" spans="2:8" ht="21.75" customHeight="1">
      <c r="B34" s="75"/>
      <c r="C34" s="74"/>
      <c r="D34" s="74"/>
      <c r="E34" s="109"/>
      <c r="F34" s="109"/>
      <c r="G34" s="110"/>
      <c r="H34" s="95"/>
    </row>
    <row r="35" spans="2:8" ht="21.75" customHeight="1" thickBot="1">
      <c r="B35" s="75"/>
      <c r="C35" s="74"/>
      <c r="D35" s="74"/>
      <c r="E35" s="109"/>
      <c r="F35" s="109"/>
      <c r="G35" s="110"/>
      <c r="H35" s="95"/>
    </row>
    <row r="36" spans="2:10" ht="34.5" customHeight="1">
      <c r="B36" s="463" t="s">
        <v>295</v>
      </c>
      <c r="C36" s="464"/>
      <c r="D36" s="464"/>
      <c r="E36" s="464"/>
      <c r="F36" s="464"/>
      <c r="G36" s="464"/>
      <c r="H36" s="465"/>
      <c r="I36" s="24"/>
      <c r="J36" s="75"/>
    </row>
    <row r="37" spans="2:10" ht="15" customHeight="1" thickBot="1">
      <c r="B37" s="25"/>
      <c r="C37" s="26"/>
      <c r="D37" s="26"/>
      <c r="E37" s="26"/>
      <c r="F37" s="26"/>
      <c r="G37" s="26"/>
      <c r="H37" s="26"/>
      <c r="I37" s="24"/>
      <c r="J37" s="75"/>
    </row>
    <row r="38" spans="2:10" ht="34.5" customHeight="1">
      <c r="B38" s="483" t="s">
        <v>296</v>
      </c>
      <c r="C38" s="484"/>
      <c r="D38" s="484"/>
      <c r="E38" s="484"/>
      <c r="F38" s="484"/>
      <c r="G38" s="484"/>
      <c r="H38" s="484"/>
      <c r="I38" s="24"/>
      <c r="J38" s="75"/>
    </row>
    <row r="39" spans="2:10" ht="9.75" customHeight="1">
      <c r="B39" s="111"/>
      <c r="C39" s="111"/>
      <c r="D39" s="111"/>
      <c r="E39" s="111"/>
      <c r="F39" s="111"/>
      <c r="G39" s="111"/>
      <c r="H39" s="111"/>
      <c r="I39" s="24"/>
      <c r="J39" s="75"/>
    </row>
    <row r="40" spans="2:8" ht="30" customHeight="1">
      <c r="B40" s="480"/>
      <c r="C40" s="481"/>
      <c r="D40" s="11" t="s">
        <v>211</v>
      </c>
      <c r="E40" s="485" t="s">
        <v>313</v>
      </c>
      <c r="F40" s="485"/>
      <c r="G40" s="485" t="s">
        <v>314</v>
      </c>
      <c r="H40" s="486"/>
    </row>
    <row r="41" spans="2:8" ht="9.75" customHeight="1" thickBot="1">
      <c r="B41" s="113"/>
      <c r="C41" s="114"/>
      <c r="D41" s="111"/>
      <c r="E41" s="111"/>
      <c r="F41" s="111"/>
      <c r="G41" s="111"/>
      <c r="H41" s="111"/>
    </row>
    <row r="42" spans="2:8" ht="39.75" customHeight="1">
      <c r="B42" s="482" t="s">
        <v>297</v>
      </c>
      <c r="C42" s="470"/>
      <c r="D42" s="20"/>
      <c r="E42" s="459">
        <f>D42*30%</f>
        <v>0</v>
      </c>
      <c r="F42" s="475"/>
      <c r="G42" s="475">
        <f>D42*70%</f>
        <v>0</v>
      </c>
      <c r="H42" s="476"/>
    </row>
    <row r="43" spans="2:8" ht="39.75" customHeight="1">
      <c r="B43" s="461" t="s">
        <v>298</v>
      </c>
      <c r="C43" s="462"/>
      <c r="D43" s="117">
        <f>G33</f>
        <v>0</v>
      </c>
      <c r="E43" s="473">
        <f>D43*30%</f>
        <v>0</v>
      </c>
      <c r="F43" s="473"/>
      <c r="G43" s="473">
        <f>D43*70%</f>
        <v>0</v>
      </c>
      <c r="H43" s="474"/>
    </row>
    <row r="44" spans="2:8" ht="39.75" customHeight="1">
      <c r="B44" s="478" t="s">
        <v>299</v>
      </c>
      <c r="C44" s="479"/>
      <c r="D44" s="119" t="e">
        <f>D43/D42</f>
        <v>#DIV/0!</v>
      </c>
      <c r="E44" s="471" t="e">
        <f>E43/E42</f>
        <v>#DIV/0!</v>
      </c>
      <c r="F44" s="471"/>
      <c r="G44" s="471" t="e">
        <f>G43/G42</f>
        <v>#DIV/0!</v>
      </c>
      <c r="H44" s="472"/>
    </row>
    <row r="45" spans="2:9" ht="15" customHeight="1" thickBot="1">
      <c r="B45" s="31"/>
      <c r="C45" s="31"/>
      <c r="D45" s="120"/>
      <c r="E45" s="120"/>
      <c r="F45" s="120"/>
      <c r="G45" s="120"/>
      <c r="H45" s="120"/>
      <c r="I45" s="75"/>
    </row>
    <row r="46" spans="2:8" ht="34.5" customHeight="1">
      <c r="B46" s="483" t="s">
        <v>300</v>
      </c>
      <c r="C46" s="484"/>
      <c r="D46" s="484"/>
      <c r="E46" s="484"/>
      <c r="F46" s="484"/>
      <c r="G46" s="484"/>
      <c r="H46" s="484"/>
    </row>
    <row r="47" spans="2:8" ht="9.75" customHeight="1">
      <c r="B47" s="74"/>
      <c r="C47" s="74"/>
      <c r="D47" s="74"/>
      <c r="E47" s="74"/>
      <c r="F47" s="74"/>
      <c r="G47" s="74"/>
      <c r="H47" s="74"/>
    </row>
    <row r="48" spans="2:8" ht="39.75" customHeight="1">
      <c r="B48" s="480"/>
      <c r="C48" s="481"/>
      <c r="D48" s="11" t="s">
        <v>214</v>
      </c>
      <c r="E48" s="11" t="s">
        <v>215</v>
      </c>
      <c r="F48" s="11" t="s">
        <v>216</v>
      </c>
      <c r="G48" s="11" t="s">
        <v>217</v>
      </c>
      <c r="H48" s="112" t="s">
        <v>211</v>
      </c>
    </row>
    <row r="49" spans="1:9" ht="9.75" customHeight="1" thickBot="1">
      <c r="A49" s="75"/>
      <c r="B49" s="75"/>
      <c r="C49" s="75"/>
      <c r="D49" s="74"/>
      <c r="E49" s="74"/>
      <c r="F49" s="74"/>
      <c r="G49" s="74"/>
      <c r="H49" s="74"/>
      <c r="I49" s="75"/>
    </row>
    <row r="50" spans="2:8" ht="39.75" customHeight="1">
      <c r="B50" s="482" t="s">
        <v>297</v>
      </c>
      <c r="C50" s="470"/>
      <c r="D50" s="340"/>
      <c r="E50" s="341"/>
      <c r="F50" s="341"/>
      <c r="G50" s="342"/>
      <c r="H50" s="121">
        <f>SUM(D50:G50)</f>
        <v>0</v>
      </c>
    </row>
    <row r="51" spans="2:10" ht="39.75" customHeight="1" thickBot="1">
      <c r="B51" s="505" t="s">
        <v>52</v>
      </c>
      <c r="C51" s="505"/>
      <c r="D51" s="27" t="e">
        <f>D50/H50</f>
        <v>#DIV/0!</v>
      </c>
      <c r="E51" s="27" t="e">
        <f>E50/H50</f>
        <v>#DIV/0!</v>
      </c>
      <c r="F51" s="27" t="e">
        <f>F50/H50</f>
        <v>#DIV/0!</v>
      </c>
      <c r="G51" s="27" t="e">
        <f>G50/H50</f>
        <v>#DIV/0!</v>
      </c>
      <c r="H51" s="28" t="e">
        <f>H50/H50</f>
        <v>#DIV/0!</v>
      </c>
      <c r="J51" s="101"/>
    </row>
    <row r="52" spans="2:8" ht="39.75" customHeight="1">
      <c r="B52" s="461" t="s">
        <v>298</v>
      </c>
      <c r="C52" s="462"/>
      <c r="D52" s="125"/>
      <c r="E52" s="126"/>
      <c r="F52" s="126"/>
      <c r="G52" s="127"/>
      <c r="H52" s="122">
        <f>SUM(D52:G52)</f>
        <v>0</v>
      </c>
    </row>
    <row r="53" spans="2:8" ht="39.75" customHeight="1">
      <c r="B53" s="478" t="s">
        <v>299</v>
      </c>
      <c r="C53" s="479"/>
      <c r="D53" s="123" t="e">
        <f>D52/D50</f>
        <v>#DIV/0!</v>
      </c>
      <c r="E53" s="123" t="e">
        <f>E52/E50</f>
        <v>#DIV/0!</v>
      </c>
      <c r="F53" s="123" t="e">
        <f>F52/F50</f>
        <v>#DIV/0!</v>
      </c>
      <c r="G53" s="123" t="e">
        <f>G52/G50</f>
        <v>#DIV/0!</v>
      </c>
      <c r="H53" s="124" t="e">
        <f>H52/H50</f>
        <v>#DIV/0!</v>
      </c>
    </row>
  </sheetData>
  <sheetProtection sheet="1" objects="1" scenarios="1"/>
  <mergeCells count="51">
    <mergeCell ref="B50:C50"/>
    <mergeCell ref="B52:C52"/>
    <mergeCell ref="C20:D20"/>
    <mergeCell ref="C21:D21"/>
    <mergeCell ref="C24:D24"/>
    <mergeCell ref="C26:D26"/>
    <mergeCell ref="C27:D27"/>
    <mergeCell ref="C28:D28"/>
    <mergeCell ref="C29:D29"/>
    <mergeCell ref="B44:C44"/>
    <mergeCell ref="C22:D22"/>
    <mergeCell ref="C23:D23"/>
    <mergeCell ref="C16:D16"/>
    <mergeCell ref="C17:D17"/>
    <mergeCell ref="C18:D18"/>
    <mergeCell ref="C19:D19"/>
    <mergeCell ref="E42:F42"/>
    <mergeCell ref="E43:F43"/>
    <mergeCell ref="C31:D31"/>
    <mergeCell ref="B33:D33"/>
    <mergeCell ref="B36:H36"/>
    <mergeCell ref="B2:H2"/>
    <mergeCell ref="B4:D4"/>
    <mergeCell ref="C14:D14"/>
    <mergeCell ref="C3:H3"/>
    <mergeCell ref="C6:D6"/>
    <mergeCell ref="C7:D7"/>
    <mergeCell ref="C8:D8"/>
    <mergeCell ref="C9:D9"/>
    <mergeCell ref="C12:D12"/>
    <mergeCell ref="C13:D13"/>
    <mergeCell ref="B53:C53"/>
    <mergeCell ref="B38:H38"/>
    <mergeCell ref="B40:C40"/>
    <mergeCell ref="B42:C42"/>
    <mergeCell ref="B48:C48"/>
    <mergeCell ref="G44:H44"/>
    <mergeCell ref="G43:H43"/>
    <mergeCell ref="G42:H42"/>
    <mergeCell ref="E44:F44"/>
    <mergeCell ref="B43:C43"/>
    <mergeCell ref="B51:C51"/>
    <mergeCell ref="B6:B10"/>
    <mergeCell ref="B12:B14"/>
    <mergeCell ref="B16:B24"/>
    <mergeCell ref="B26:B31"/>
    <mergeCell ref="C10:D10"/>
    <mergeCell ref="B46:H46"/>
    <mergeCell ref="G40:H40"/>
    <mergeCell ref="C30:D30"/>
    <mergeCell ref="E40:F40"/>
  </mergeCells>
  <printOptions horizontalCentered="1"/>
  <pageMargins left="0.7874015748031497" right="0.7874015748031497" top="0.36" bottom="0.2362204724409449" header="0.38" footer="0.2362204724409449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90"/>
  <sheetViews>
    <sheetView zoomScale="80" zoomScaleNormal="8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76" customWidth="1"/>
    <col min="2" max="2" width="40.7109375" style="76" customWidth="1"/>
    <col min="3" max="3" width="55.7109375" style="76" customWidth="1"/>
    <col min="4" max="4" width="13.7109375" style="76" customWidth="1"/>
    <col min="5" max="6" width="15.7109375" style="76" customWidth="1"/>
    <col min="7" max="7" width="20.7109375" style="76" customWidth="1"/>
    <col min="8" max="16384" width="9.140625" style="76" customWidth="1"/>
  </cols>
  <sheetData>
    <row r="1" ht="9.75" customHeight="1" thickBot="1"/>
    <row r="2" spans="2:8" ht="49.5" customHeight="1">
      <c r="B2" s="429" t="s">
        <v>348</v>
      </c>
      <c r="C2" s="430"/>
      <c r="D2" s="430"/>
      <c r="E2" s="430"/>
      <c r="F2" s="430"/>
      <c r="G2" s="430"/>
      <c r="H2" s="81"/>
    </row>
    <row r="3" spans="2:7" ht="15" thickBot="1">
      <c r="B3" s="130"/>
      <c r="C3" s="130"/>
      <c r="D3" s="130"/>
      <c r="E3" s="130"/>
      <c r="F3" s="130"/>
      <c r="G3" s="130"/>
    </row>
    <row r="4" spans="2:12" ht="30" customHeight="1">
      <c r="B4" s="131" t="s">
        <v>316</v>
      </c>
      <c r="C4" s="11" t="s">
        <v>212</v>
      </c>
      <c r="D4" s="132"/>
      <c r="E4" s="11" t="s">
        <v>213</v>
      </c>
      <c r="F4" s="11" t="s">
        <v>116</v>
      </c>
      <c r="G4" s="132" t="s">
        <v>315</v>
      </c>
      <c r="H4" s="81"/>
      <c r="K4" s="75"/>
      <c r="L4" s="75"/>
    </row>
    <row r="5" spans="2:7" ht="9.75" customHeight="1" thickBot="1">
      <c r="B5" s="448"/>
      <c r="C5" s="448"/>
      <c r="D5" s="448"/>
      <c r="E5" s="448"/>
      <c r="F5" s="448"/>
      <c r="G5" s="448"/>
    </row>
    <row r="6" spans="1:7" s="134" customFormat="1" ht="34.5" customHeight="1">
      <c r="A6" s="133"/>
      <c r="B6" s="431" t="s">
        <v>242</v>
      </c>
      <c r="C6" s="432"/>
      <c r="D6" s="432"/>
      <c r="E6" s="432"/>
      <c r="F6" s="432"/>
      <c r="G6" s="433"/>
    </row>
    <row r="7" spans="2:7" s="134" customFormat="1" ht="9.75" customHeight="1" thickBot="1">
      <c r="B7" s="135"/>
      <c r="C7" s="135"/>
      <c r="D7" s="135"/>
      <c r="E7" s="135"/>
      <c r="F7" s="135"/>
      <c r="G7" s="136"/>
    </row>
    <row r="8" spans="2:7" s="134" customFormat="1" ht="34.5" customHeight="1">
      <c r="B8" s="137" t="s">
        <v>243</v>
      </c>
      <c r="C8" s="441" t="s">
        <v>39</v>
      </c>
      <c r="D8" s="441"/>
      <c r="E8" s="438"/>
      <c r="F8" s="50"/>
      <c r="G8" s="426"/>
    </row>
    <row r="9" spans="2:7" s="134" customFormat="1" ht="34.5" customHeight="1">
      <c r="B9" s="138" t="s">
        <v>244</v>
      </c>
      <c r="C9" s="441" t="s">
        <v>40</v>
      </c>
      <c r="D9" s="441"/>
      <c r="E9" s="438"/>
      <c r="F9" s="203"/>
      <c r="G9" s="426"/>
    </row>
    <row r="10" spans="2:7" s="134" customFormat="1" ht="34.5" customHeight="1">
      <c r="B10" s="137" t="s">
        <v>103</v>
      </c>
      <c r="C10" s="441" t="s">
        <v>41</v>
      </c>
      <c r="D10" s="441"/>
      <c r="E10" s="438"/>
      <c r="F10" s="203"/>
      <c r="G10" s="426"/>
    </row>
    <row r="11" spans="2:7" s="134" customFormat="1" ht="34.5" customHeight="1">
      <c r="B11" s="138" t="s">
        <v>104</v>
      </c>
      <c r="C11" s="428" t="s">
        <v>42</v>
      </c>
      <c r="D11" s="428"/>
      <c r="E11" s="450"/>
      <c r="F11" s="203"/>
      <c r="G11" s="426"/>
    </row>
    <row r="12" spans="2:7" s="134" customFormat="1" ht="34.5" customHeight="1">
      <c r="B12" s="139" t="s">
        <v>131</v>
      </c>
      <c r="C12" s="440" t="s">
        <v>43</v>
      </c>
      <c r="D12" s="440"/>
      <c r="E12" s="436"/>
      <c r="F12" s="51"/>
      <c r="G12" s="427"/>
    </row>
    <row r="13" spans="2:7" s="134" customFormat="1" ht="9.75" customHeight="1" thickBot="1">
      <c r="B13" s="141"/>
      <c r="C13" s="141"/>
      <c r="D13" s="141"/>
      <c r="E13" s="141"/>
      <c r="F13" s="142"/>
      <c r="G13" s="143"/>
    </row>
    <row r="14" spans="1:7" s="134" customFormat="1" ht="34.5" customHeight="1">
      <c r="A14" s="144"/>
      <c r="B14" s="431" t="s">
        <v>282</v>
      </c>
      <c r="C14" s="432"/>
      <c r="D14" s="432"/>
      <c r="E14" s="432"/>
      <c r="F14" s="432"/>
      <c r="G14" s="433"/>
    </row>
    <row r="15" spans="2:7" s="134" customFormat="1" ht="9.75" customHeight="1" thickBot="1">
      <c r="B15" s="135"/>
      <c r="C15" s="135"/>
      <c r="D15" s="135"/>
      <c r="E15" s="135"/>
      <c r="F15" s="135"/>
      <c r="G15" s="136"/>
    </row>
    <row r="16" spans="2:7" s="134" customFormat="1" ht="27" customHeight="1">
      <c r="B16" s="137" t="s">
        <v>288</v>
      </c>
      <c r="C16" s="145" t="s">
        <v>287</v>
      </c>
      <c r="D16" s="146">
        <v>0.08</v>
      </c>
      <c r="E16" s="98">
        <f>(Cadastro!G24+Cadastro!G31)*SitSaúde!D16</f>
        <v>0</v>
      </c>
      <c r="F16" s="50"/>
      <c r="G16" s="147" t="e">
        <f>F16/E16</f>
        <v>#DIV/0!</v>
      </c>
    </row>
    <row r="17" spans="2:7" s="134" customFormat="1" ht="34.5" customHeight="1">
      <c r="B17" s="137" t="s">
        <v>289</v>
      </c>
      <c r="C17" s="145" t="s">
        <v>317</v>
      </c>
      <c r="D17" s="146">
        <v>1.1</v>
      </c>
      <c r="E17" s="98">
        <f>SUM(Cadastro!G6:G7)*D17</f>
        <v>0</v>
      </c>
      <c r="F17" s="203"/>
      <c r="G17" s="147" t="e">
        <f>F17/E17</f>
        <v>#DIV/0!</v>
      </c>
    </row>
    <row r="18" spans="2:9" s="134" customFormat="1" ht="51" customHeight="1">
      <c r="B18" s="139" t="s">
        <v>218</v>
      </c>
      <c r="C18" s="148" t="s">
        <v>318</v>
      </c>
      <c r="D18" s="149">
        <v>0.025</v>
      </c>
      <c r="E18" s="150">
        <f>SUM(Cadastro!G33)*D18</f>
        <v>0</v>
      </c>
      <c r="F18" s="51"/>
      <c r="G18" s="129" t="e">
        <f>F18/E18</f>
        <v>#DIV/0!</v>
      </c>
      <c r="H18" s="152"/>
      <c r="I18" s="152"/>
    </row>
    <row r="19" spans="2:9" s="134" customFormat="1" ht="9.75" customHeight="1">
      <c r="B19" s="141"/>
      <c r="C19" s="141"/>
      <c r="D19" s="153"/>
      <c r="E19" s="154"/>
      <c r="F19" s="142"/>
      <c r="G19" s="143"/>
      <c r="H19" s="152"/>
      <c r="I19" s="152"/>
    </row>
    <row r="20" spans="1:9" s="134" customFormat="1" ht="34.5" customHeight="1">
      <c r="A20" s="144"/>
      <c r="B20" s="445" t="s">
        <v>283</v>
      </c>
      <c r="C20" s="446"/>
      <c r="D20" s="446"/>
      <c r="E20" s="446"/>
      <c r="F20" s="446"/>
      <c r="G20" s="447"/>
      <c r="H20" s="155"/>
      <c r="I20" s="158"/>
    </row>
    <row r="21" spans="2:9" s="134" customFormat="1" ht="9.75" customHeight="1" thickBot="1">
      <c r="B21" s="135"/>
      <c r="C21" s="135"/>
      <c r="D21" s="135"/>
      <c r="E21" s="135"/>
      <c r="F21" s="135"/>
      <c r="G21" s="135"/>
      <c r="H21" s="158"/>
      <c r="I21" s="158"/>
    </row>
    <row r="22" spans="2:9" s="134" customFormat="1" ht="24" customHeight="1">
      <c r="B22" s="452" t="s">
        <v>227</v>
      </c>
      <c r="C22" s="160" t="s">
        <v>319</v>
      </c>
      <c r="D22" s="161">
        <v>0.012</v>
      </c>
      <c r="E22" s="83">
        <f>SUM(Cadastro!G$6:G$9)*D22</f>
        <v>0</v>
      </c>
      <c r="F22" s="50"/>
      <c r="G22" s="147" t="e">
        <f aca="true" t="shared" si="0" ref="G22:G35">F22/E22</f>
        <v>#DIV/0!</v>
      </c>
      <c r="H22" s="152"/>
      <c r="I22" s="152"/>
    </row>
    <row r="23" spans="2:9" s="134" customFormat="1" ht="24" customHeight="1">
      <c r="B23" s="452"/>
      <c r="C23" s="160" t="s">
        <v>320</v>
      </c>
      <c r="D23" s="162">
        <v>0</v>
      </c>
      <c r="E23" s="83">
        <f>SUM(Cadastro!G$6:G$9)*D23</f>
        <v>0</v>
      </c>
      <c r="F23" s="203"/>
      <c r="G23" s="147">
        <f>-A23</f>
        <v>0</v>
      </c>
      <c r="H23" s="152"/>
      <c r="I23" s="152"/>
    </row>
    <row r="24" spans="2:9" s="134" customFormat="1" ht="24" customHeight="1">
      <c r="B24" s="438"/>
      <c r="C24" s="160" t="s">
        <v>321</v>
      </c>
      <c r="D24" s="161">
        <v>0</v>
      </c>
      <c r="E24" s="83">
        <f>SUM(Cadastro!G$6:G$9)*D24</f>
        <v>0</v>
      </c>
      <c r="F24" s="203"/>
      <c r="G24" s="163" t="s">
        <v>349</v>
      </c>
      <c r="H24" s="152"/>
      <c r="I24" s="152"/>
    </row>
    <row r="25" spans="2:9" s="134" customFormat="1" ht="30.75" customHeight="1">
      <c r="B25" s="452" t="s">
        <v>228</v>
      </c>
      <c r="C25" s="160" t="s">
        <v>322</v>
      </c>
      <c r="D25" s="161">
        <v>0.135</v>
      </c>
      <c r="E25" s="83">
        <f>SUM(Cadastro!G$12)*D25</f>
        <v>0</v>
      </c>
      <c r="F25" s="203"/>
      <c r="G25" s="147" t="e">
        <f t="shared" si="0"/>
        <v>#DIV/0!</v>
      </c>
      <c r="H25" s="152"/>
      <c r="I25" s="152"/>
    </row>
    <row r="26" spans="2:9" s="134" customFormat="1" ht="30.75" customHeight="1">
      <c r="B26" s="452"/>
      <c r="C26" s="160" t="s">
        <v>323</v>
      </c>
      <c r="D26" s="161">
        <v>0.114</v>
      </c>
      <c r="E26" s="83">
        <f>SUM(Cadastro!G$12)*D26</f>
        <v>0</v>
      </c>
      <c r="F26" s="203"/>
      <c r="G26" s="147" t="e">
        <f t="shared" si="0"/>
        <v>#DIV/0!</v>
      </c>
      <c r="H26" s="152"/>
      <c r="I26" s="152"/>
    </row>
    <row r="27" spans="2:9" s="134" customFormat="1" ht="30.75" customHeight="1">
      <c r="B27" s="438"/>
      <c r="C27" s="160" t="s">
        <v>324</v>
      </c>
      <c r="D27" s="161">
        <v>0</v>
      </c>
      <c r="E27" s="83">
        <f>SUM(Cadastro!G$12)*D27</f>
        <v>0</v>
      </c>
      <c r="F27" s="203"/>
      <c r="G27" s="164" t="s">
        <v>349</v>
      </c>
      <c r="H27" s="152"/>
      <c r="I27" s="152"/>
    </row>
    <row r="28" spans="2:9" s="134" customFormat="1" ht="31.5" customHeight="1">
      <c r="B28" s="452" t="s">
        <v>230</v>
      </c>
      <c r="C28" s="160" t="s">
        <v>325</v>
      </c>
      <c r="D28" s="161">
        <v>0.089</v>
      </c>
      <c r="E28" s="83">
        <f>SUM(Cadastro!G$13)*D28</f>
        <v>0</v>
      </c>
      <c r="F28" s="203"/>
      <c r="G28" s="147" t="e">
        <f t="shared" si="0"/>
        <v>#DIV/0!</v>
      </c>
      <c r="H28" s="152"/>
      <c r="I28" s="152"/>
    </row>
    <row r="29" spans="2:9" s="134" customFormat="1" ht="31.5" customHeight="1">
      <c r="B29" s="452"/>
      <c r="C29" s="160" t="s">
        <v>326</v>
      </c>
      <c r="D29" s="161">
        <v>0.203</v>
      </c>
      <c r="E29" s="83">
        <f>SUM(Cadastro!G$13)*D29</f>
        <v>0</v>
      </c>
      <c r="F29" s="203"/>
      <c r="G29" s="147" t="e">
        <f t="shared" si="0"/>
        <v>#DIV/0!</v>
      </c>
      <c r="H29" s="152"/>
      <c r="I29" s="152"/>
    </row>
    <row r="30" spans="2:9" s="134" customFormat="1" ht="31.5" customHeight="1">
      <c r="B30" s="438"/>
      <c r="C30" s="160" t="s">
        <v>327</v>
      </c>
      <c r="D30" s="161">
        <v>0</v>
      </c>
      <c r="E30" s="83">
        <f>SUM(Cadastro!G$13)*D30</f>
        <v>0</v>
      </c>
      <c r="F30" s="203"/>
      <c r="G30" s="163" t="s">
        <v>349</v>
      </c>
      <c r="H30" s="152"/>
      <c r="I30" s="152"/>
    </row>
    <row r="31" spans="2:9" s="134" customFormat="1" ht="27" customHeight="1">
      <c r="B31" s="452" t="s">
        <v>229</v>
      </c>
      <c r="C31" s="160" t="s">
        <v>328</v>
      </c>
      <c r="D31" s="161">
        <v>0.07</v>
      </c>
      <c r="E31" s="83">
        <f>SUM(Cadastro!G$16:G$23)*D31</f>
        <v>0</v>
      </c>
      <c r="F31" s="203"/>
      <c r="G31" s="147" t="e">
        <f t="shared" si="0"/>
        <v>#DIV/0!</v>
      </c>
      <c r="H31" s="152"/>
      <c r="I31" s="152"/>
    </row>
    <row r="32" spans="2:9" s="134" customFormat="1" ht="27" customHeight="1">
      <c r="B32" s="452"/>
      <c r="C32" s="160" t="s">
        <v>329</v>
      </c>
      <c r="D32" s="161">
        <v>0.326</v>
      </c>
      <c r="E32" s="83">
        <f>SUM(Cadastro!G$16:G$23)*D32</f>
        <v>0</v>
      </c>
      <c r="F32" s="203"/>
      <c r="G32" s="147" t="e">
        <f t="shared" si="0"/>
        <v>#DIV/0!</v>
      </c>
      <c r="H32" s="152"/>
      <c r="I32" s="152"/>
    </row>
    <row r="33" spans="2:9" s="134" customFormat="1" ht="27" customHeight="1">
      <c r="B33" s="438"/>
      <c r="C33" s="160" t="s">
        <v>330</v>
      </c>
      <c r="D33" s="161">
        <v>0.093</v>
      </c>
      <c r="E33" s="83">
        <f>SUM(Cadastro!G$16:G$23)*D33</f>
        <v>0</v>
      </c>
      <c r="F33" s="203"/>
      <c r="G33" s="147" t="e">
        <f t="shared" si="0"/>
        <v>#DIV/0!</v>
      </c>
      <c r="H33" s="152"/>
      <c r="I33" s="152"/>
    </row>
    <row r="34" spans="2:9" s="134" customFormat="1" ht="27" customHeight="1">
      <c r="B34" s="452" t="s">
        <v>231</v>
      </c>
      <c r="C34" s="160" t="s">
        <v>331</v>
      </c>
      <c r="D34" s="161">
        <v>0</v>
      </c>
      <c r="E34" s="83">
        <f>SUM(Cadastro!G$26:G$30)*D34</f>
        <v>0</v>
      </c>
      <c r="F34" s="203"/>
      <c r="G34" s="163" t="s">
        <v>349</v>
      </c>
      <c r="H34" s="152"/>
      <c r="I34" s="152"/>
    </row>
    <row r="35" spans="2:9" s="134" customFormat="1" ht="27" customHeight="1">
      <c r="B35" s="452"/>
      <c r="C35" s="160" t="s">
        <v>332</v>
      </c>
      <c r="D35" s="161">
        <v>0.125</v>
      </c>
      <c r="E35" s="83">
        <f>SUM(Cadastro!G$26:G$30)*D35</f>
        <v>0</v>
      </c>
      <c r="F35" s="203"/>
      <c r="G35" s="147" t="e">
        <f t="shared" si="0"/>
        <v>#DIV/0!</v>
      </c>
      <c r="H35" s="152"/>
      <c r="I35" s="152"/>
    </row>
    <row r="36" spans="2:9" s="134" customFormat="1" ht="27" customHeight="1">
      <c r="B36" s="436"/>
      <c r="C36" s="165" t="s">
        <v>333</v>
      </c>
      <c r="D36" s="166">
        <v>0</v>
      </c>
      <c r="E36" s="167">
        <f>SUM(Cadastro!G$26:G$30)*D36</f>
        <v>0</v>
      </c>
      <c r="F36" s="51"/>
      <c r="G36" s="168" t="s">
        <v>349</v>
      </c>
      <c r="H36" s="152"/>
      <c r="I36" s="152"/>
    </row>
    <row r="37" spans="2:9" s="134" customFormat="1" ht="9.75" customHeight="1">
      <c r="B37" s="141"/>
      <c r="C37" s="169"/>
      <c r="D37" s="153"/>
      <c r="E37" s="154"/>
      <c r="F37" s="154"/>
      <c r="G37" s="143"/>
      <c r="H37" s="152"/>
      <c r="I37" s="152"/>
    </row>
    <row r="38" spans="1:9" s="134" customFormat="1" ht="34.5" customHeight="1">
      <c r="A38" s="144"/>
      <c r="B38" s="445" t="s">
        <v>284</v>
      </c>
      <c r="C38" s="446"/>
      <c r="D38" s="446"/>
      <c r="E38" s="446"/>
      <c r="F38" s="446"/>
      <c r="G38" s="447"/>
      <c r="H38" s="158"/>
      <c r="I38" s="158"/>
    </row>
    <row r="39" spans="2:9" s="134" customFormat="1" ht="9.75" customHeight="1">
      <c r="B39" s="135"/>
      <c r="C39" s="135"/>
      <c r="D39" s="135"/>
      <c r="E39" s="135"/>
      <c r="F39" s="135"/>
      <c r="G39" s="135"/>
      <c r="H39" s="158"/>
      <c r="I39" s="158"/>
    </row>
    <row r="40" spans="2:7" s="134" customFormat="1" ht="27" customHeight="1">
      <c r="B40" s="439" t="s">
        <v>227</v>
      </c>
      <c r="C40" s="170" t="s">
        <v>225</v>
      </c>
      <c r="D40" s="32">
        <v>3.48</v>
      </c>
      <c r="E40" s="31"/>
      <c r="F40" s="31"/>
      <c r="G40" s="171"/>
    </row>
    <row r="41" spans="2:7" s="134" customFormat="1" ht="27" customHeight="1">
      <c r="B41" s="439"/>
      <c r="C41" s="170" t="s">
        <v>226</v>
      </c>
      <c r="D41" s="146">
        <v>0.82</v>
      </c>
      <c r="E41" s="172"/>
      <c r="F41" s="31"/>
      <c r="G41" s="171"/>
    </row>
    <row r="42" spans="2:7" s="134" customFormat="1" ht="27" customHeight="1" thickBot="1">
      <c r="B42" s="439"/>
      <c r="C42" s="170" t="s">
        <v>240</v>
      </c>
      <c r="D42" s="173">
        <f>D40*D41</f>
        <v>2.8535999999999997</v>
      </c>
      <c r="E42" s="174"/>
      <c r="F42" s="31"/>
      <c r="G42" s="175"/>
    </row>
    <row r="43" spans="2:9" s="134" customFormat="1" ht="27" customHeight="1">
      <c r="B43" s="439"/>
      <c r="C43" s="449" t="s">
        <v>334</v>
      </c>
      <c r="D43" s="450"/>
      <c r="E43" s="176">
        <f>SUM(Cadastro!G6:G9)*D42</f>
        <v>0</v>
      </c>
      <c r="F43" s="50"/>
      <c r="G43" s="147" t="e">
        <f>F43/E43</f>
        <v>#DIV/0!</v>
      </c>
      <c r="H43" s="152"/>
      <c r="I43" s="152"/>
    </row>
    <row r="44" spans="2:9" s="134" customFormat="1" ht="27" customHeight="1">
      <c r="B44" s="439"/>
      <c r="C44" s="145" t="s">
        <v>113</v>
      </c>
      <c r="D44" s="161">
        <v>0.331</v>
      </c>
      <c r="E44" s="176">
        <f>SUM(Cadastro!G$6:G$9)*D44</f>
        <v>0</v>
      </c>
      <c r="F44" s="203"/>
      <c r="G44" s="147" t="e">
        <f>F44/E44</f>
        <v>#DIV/0!</v>
      </c>
      <c r="H44" s="152"/>
      <c r="I44" s="152"/>
    </row>
    <row r="45" spans="2:9" s="134" customFormat="1" ht="27" customHeight="1">
      <c r="B45" s="441"/>
      <c r="C45" s="145" t="s">
        <v>232</v>
      </c>
      <c r="D45" s="161">
        <v>0.669</v>
      </c>
      <c r="E45" s="176">
        <f>SUM(Cadastro!G$6:G$9)*D45</f>
        <v>0</v>
      </c>
      <c r="F45" s="51"/>
      <c r="G45" s="147" t="e">
        <f>F45/E45</f>
        <v>#DIV/0!</v>
      </c>
      <c r="H45" s="152"/>
      <c r="I45" s="152"/>
    </row>
    <row r="46" spans="2:7" s="134" customFormat="1" ht="27" customHeight="1">
      <c r="B46" s="439" t="s">
        <v>228</v>
      </c>
      <c r="C46" s="145" t="s">
        <v>233</v>
      </c>
      <c r="D46" s="58">
        <v>2.13</v>
      </c>
      <c r="E46" s="177"/>
      <c r="F46" s="31"/>
      <c r="G46" s="178"/>
    </row>
    <row r="47" spans="2:7" s="134" customFormat="1" ht="27" customHeight="1">
      <c r="B47" s="439"/>
      <c r="C47" s="145" t="s">
        <v>226</v>
      </c>
      <c r="D47" s="161">
        <v>0.544</v>
      </c>
      <c r="E47" s="179"/>
      <c r="F47" s="31"/>
      <c r="G47" s="171"/>
    </row>
    <row r="48" spans="2:7" s="134" customFormat="1" ht="27" customHeight="1" thickBot="1">
      <c r="B48" s="439"/>
      <c r="C48" s="145" t="s">
        <v>240</v>
      </c>
      <c r="D48" s="180">
        <f>D46*D47</f>
        <v>1.15872</v>
      </c>
      <c r="E48" s="174"/>
      <c r="F48" s="181"/>
      <c r="G48" s="175"/>
    </row>
    <row r="49" spans="2:9" s="134" customFormat="1" ht="27" customHeight="1">
      <c r="B49" s="439"/>
      <c r="C49" s="449" t="s">
        <v>334</v>
      </c>
      <c r="D49" s="451"/>
      <c r="E49" s="83">
        <f>SUM(Cadastro!G$12)*D48</f>
        <v>0</v>
      </c>
      <c r="F49" s="50"/>
      <c r="G49" s="147" t="e">
        <f>F49/E49</f>
        <v>#DIV/0!</v>
      </c>
      <c r="H49" s="152"/>
      <c r="I49" s="152"/>
    </row>
    <row r="50" spans="2:9" s="134" customFormat="1" ht="27" customHeight="1">
      <c r="B50" s="439"/>
      <c r="C50" s="145" t="s">
        <v>109</v>
      </c>
      <c r="D50" s="161">
        <v>0.481</v>
      </c>
      <c r="E50" s="83">
        <f>SUM(Cadastro!G$12)*D50</f>
        <v>0</v>
      </c>
      <c r="F50" s="203"/>
      <c r="G50" s="147" t="e">
        <f>F50/E50</f>
        <v>#DIV/0!</v>
      </c>
      <c r="H50" s="152"/>
      <c r="I50" s="152"/>
    </row>
    <row r="51" spans="2:9" s="134" customFormat="1" ht="27" customHeight="1">
      <c r="B51" s="441"/>
      <c r="C51" s="145" t="s">
        <v>108</v>
      </c>
      <c r="D51" s="161">
        <v>0.519</v>
      </c>
      <c r="E51" s="83">
        <f>SUM(Cadastro!G$12)*D51</f>
        <v>0</v>
      </c>
      <c r="F51" s="51"/>
      <c r="G51" s="147" t="e">
        <f>F51/E51</f>
        <v>#DIV/0!</v>
      </c>
      <c r="H51" s="152"/>
      <c r="I51" s="152"/>
    </row>
    <row r="52" spans="2:7" s="134" customFormat="1" ht="27" customHeight="1">
      <c r="B52" s="439" t="s">
        <v>230</v>
      </c>
      <c r="C52" s="145" t="s">
        <v>233</v>
      </c>
      <c r="D52" s="58">
        <v>5.13</v>
      </c>
      <c r="E52" s="182"/>
      <c r="F52" s="31"/>
      <c r="G52" s="171"/>
    </row>
    <row r="53" spans="2:7" s="134" customFormat="1" ht="27" customHeight="1">
      <c r="B53" s="439"/>
      <c r="C53" s="145" t="s">
        <v>226</v>
      </c>
      <c r="D53" s="161">
        <v>0.425</v>
      </c>
      <c r="E53" s="183"/>
      <c r="F53" s="31"/>
      <c r="G53" s="171"/>
    </row>
    <row r="54" spans="2:7" s="134" customFormat="1" ht="27" customHeight="1" thickBot="1">
      <c r="B54" s="439"/>
      <c r="C54" s="145" t="s">
        <v>240</v>
      </c>
      <c r="D54" s="180">
        <f>D52*D53</f>
        <v>2.18025</v>
      </c>
      <c r="E54" s="174"/>
      <c r="F54" s="181"/>
      <c r="G54" s="175"/>
    </row>
    <row r="55" spans="2:9" s="134" customFormat="1" ht="27" customHeight="1">
      <c r="B55" s="439"/>
      <c r="C55" s="449" t="s">
        <v>334</v>
      </c>
      <c r="D55" s="451"/>
      <c r="E55" s="83">
        <f>SUM(Cadastro!G$13)*D54</f>
        <v>0</v>
      </c>
      <c r="F55" s="50"/>
      <c r="G55" s="147" t="e">
        <f>F55/E55</f>
        <v>#DIV/0!</v>
      </c>
      <c r="H55" s="152"/>
      <c r="I55" s="152"/>
    </row>
    <row r="56" spans="2:9" s="134" customFormat="1" ht="27" customHeight="1">
      <c r="B56" s="439"/>
      <c r="C56" s="145" t="s">
        <v>109</v>
      </c>
      <c r="D56" s="161">
        <v>0.19</v>
      </c>
      <c r="E56" s="83">
        <f>SUM(Cadastro!G$13)*D56</f>
        <v>0</v>
      </c>
      <c r="F56" s="203"/>
      <c r="G56" s="147" t="e">
        <f>F56/E56</f>
        <v>#DIV/0!</v>
      </c>
      <c r="H56" s="152"/>
      <c r="I56" s="152"/>
    </row>
    <row r="57" spans="2:9" s="134" customFormat="1" ht="27" customHeight="1">
      <c r="B57" s="441"/>
      <c r="C57" s="145" t="s">
        <v>110</v>
      </c>
      <c r="D57" s="161">
        <v>0.81</v>
      </c>
      <c r="E57" s="83">
        <f>SUM(Cadastro!G$13)*D57</f>
        <v>0</v>
      </c>
      <c r="F57" s="51"/>
      <c r="G57" s="147" t="e">
        <f>F57/E57</f>
        <v>#DIV/0!</v>
      </c>
      <c r="H57" s="152"/>
      <c r="I57" s="152"/>
    </row>
    <row r="58" spans="2:7" s="134" customFormat="1" ht="27" customHeight="1">
      <c r="B58" s="439" t="s">
        <v>229</v>
      </c>
      <c r="C58" s="145" t="s">
        <v>233</v>
      </c>
      <c r="D58" s="58">
        <v>17.23</v>
      </c>
      <c r="E58" s="41"/>
      <c r="F58" s="31"/>
      <c r="G58" s="171"/>
    </row>
    <row r="59" spans="2:7" s="134" customFormat="1" ht="27" customHeight="1">
      <c r="B59" s="439"/>
      <c r="C59" s="145" t="s">
        <v>226</v>
      </c>
      <c r="D59" s="184">
        <v>0.0904</v>
      </c>
      <c r="E59" s="185"/>
      <c r="F59" s="31"/>
      <c r="G59" s="171"/>
    </row>
    <row r="60" spans="2:7" s="134" customFormat="1" ht="27" customHeight="1" thickBot="1">
      <c r="B60" s="439"/>
      <c r="C60" s="145" t="s">
        <v>240</v>
      </c>
      <c r="D60" s="180">
        <f>D58*D59</f>
        <v>1.5575919999999999</v>
      </c>
      <c r="E60" s="65"/>
      <c r="F60" s="181"/>
      <c r="G60" s="175"/>
    </row>
    <row r="61" spans="2:9" s="134" customFormat="1" ht="27" customHeight="1">
      <c r="B61" s="439"/>
      <c r="C61" s="449" t="s">
        <v>334</v>
      </c>
      <c r="D61" s="451"/>
      <c r="E61" s="83">
        <f>SUM(Cadastro!G$16:G$23)*D60</f>
        <v>0</v>
      </c>
      <c r="F61" s="50"/>
      <c r="G61" s="147" t="e">
        <f>F61/E61</f>
        <v>#DIV/0!</v>
      </c>
      <c r="H61" s="152"/>
      <c r="I61" s="152"/>
    </row>
    <row r="62" spans="2:9" s="134" customFormat="1" ht="27" customHeight="1">
      <c r="B62" s="439"/>
      <c r="C62" s="145" t="s">
        <v>111</v>
      </c>
      <c r="D62" s="161">
        <v>0.023</v>
      </c>
      <c r="E62" s="83">
        <f>SUM(Cadastro!G$16:G$23)*D62</f>
        <v>0</v>
      </c>
      <c r="F62" s="203"/>
      <c r="G62" s="147" t="e">
        <f>F62/E62</f>
        <v>#DIV/0!</v>
      </c>
      <c r="H62" s="152"/>
      <c r="I62" s="152"/>
    </row>
    <row r="63" spans="2:9" s="134" customFormat="1" ht="27" customHeight="1">
      <c r="B63" s="441"/>
      <c r="C63" s="145" t="s">
        <v>115</v>
      </c>
      <c r="D63" s="161">
        <v>0.977</v>
      </c>
      <c r="E63" s="83">
        <f>SUM(Cadastro!G$16:G$23)*D63</f>
        <v>0</v>
      </c>
      <c r="F63" s="51"/>
      <c r="G63" s="147" t="e">
        <f>F63/E63</f>
        <v>#DIV/0!</v>
      </c>
      <c r="H63" s="152"/>
      <c r="I63" s="152"/>
    </row>
    <row r="64" spans="2:7" s="134" customFormat="1" ht="27" customHeight="1">
      <c r="B64" s="439" t="s">
        <v>231</v>
      </c>
      <c r="C64" s="145" t="s">
        <v>233</v>
      </c>
      <c r="D64" s="58">
        <v>29.19</v>
      </c>
      <c r="E64" s="41"/>
      <c r="F64" s="31"/>
      <c r="G64" s="171"/>
    </row>
    <row r="65" spans="2:7" s="134" customFormat="1" ht="27" customHeight="1">
      <c r="B65" s="439"/>
      <c r="C65" s="145" t="s">
        <v>226</v>
      </c>
      <c r="D65" s="184">
        <v>0.0257</v>
      </c>
      <c r="E65" s="185"/>
      <c r="F65" s="31"/>
      <c r="G65" s="171"/>
    </row>
    <row r="66" spans="2:7" s="134" customFormat="1" ht="27" customHeight="1" thickBot="1">
      <c r="B66" s="439"/>
      <c r="C66" s="145" t="s">
        <v>240</v>
      </c>
      <c r="D66" s="180">
        <f>D64*D65</f>
        <v>0.750183</v>
      </c>
      <c r="E66" s="65"/>
      <c r="F66" s="181"/>
      <c r="G66" s="175"/>
    </row>
    <row r="67" spans="2:9" s="134" customFormat="1" ht="27" customHeight="1">
      <c r="B67" s="439"/>
      <c r="C67" s="449" t="s">
        <v>334</v>
      </c>
      <c r="D67" s="451"/>
      <c r="E67" s="83">
        <f>SUM(Cadastro!G$26:G$30)*D66</f>
        <v>0</v>
      </c>
      <c r="F67" s="50"/>
      <c r="G67" s="147" t="e">
        <f>F67/E67</f>
        <v>#DIV/0!</v>
      </c>
      <c r="H67" s="152"/>
      <c r="I67" s="152"/>
    </row>
    <row r="68" spans="2:9" s="134" customFormat="1" ht="27" customHeight="1">
      <c r="B68" s="439"/>
      <c r="C68" s="145" t="s">
        <v>112</v>
      </c>
      <c r="D68" s="161">
        <v>0</v>
      </c>
      <c r="E68" s="83">
        <f>SUM(Cadastro!G$26:G$30)*D68</f>
        <v>0</v>
      </c>
      <c r="F68" s="203"/>
      <c r="G68" s="163" t="s">
        <v>349</v>
      </c>
      <c r="H68" s="152"/>
      <c r="I68" s="152"/>
    </row>
    <row r="69" spans="2:9" s="134" customFormat="1" ht="27" customHeight="1">
      <c r="B69" s="440"/>
      <c r="C69" s="186" t="s">
        <v>114</v>
      </c>
      <c r="D69" s="166">
        <v>1</v>
      </c>
      <c r="E69" s="167">
        <f>SUM(Cadastro!G$26:G$30)*D69</f>
        <v>0</v>
      </c>
      <c r="F69" s="51"/>
      <c r="G69" s="129" t="e">
        <f>F69/E69</f>
        <v>#DIV/0!</v>
      </c>
      <c r="H69" s="152"/>
      <c r="I69" s="152"/>
    </row>
    <row r="70" spans="2:9" s="134" customFormat="1" ht="9.75" customHeight="1">
      <c r="B70" s="141"/>
      <c r="C70" s="188"/>
      <c r="D70" s="153"/>
      <c r="E70" s="154"/>
      <c r="F70" s="154"/>
      <c r="G70" s="143"/>
      <c r="H70" s="152"/>
      <c r="I70" s="152"/>
    </row>
    <row r="71" spans="1:9" s="134" customFormat="1" ht="34.5" customHeight="1">
      <c r="A71" s="144"/>
      <c r="B71" s="445" t="s">
        <v>285</v>
      </c>
      <c r="C71" s="446"/>
      <c r="D71" s="446"/>
      <c r="E71" s="446"/>
      <c r="F71" s="446"/>
      <c r="G71" s="447"/>
      <c r="H71" s="155"/>
      <c r="I71" s="158"/>
    </row>
    <row r="72" spans="2:9" s="134" customFormat="1" ht="9.75" customHeight="1" thickBot="1">
      <c r="B72" s="135"/>
      <c r="C72" s="135"/>
      <c r="D72" s="135"/>
      <c r="E72" s="135"/>
      <c r="F72" s="135"/>
      <c r="G72" s="135"/>
      <c r="H72" s="158"/>
      <c r="I72" s="158"/>
    </row>
    <row r="73" spans="2:9" s="134" customFormat="1" ht="57.75" customHeight="1">
      <c r="B73" s="137" t="s">
        <v>227</v>
      </c>
      <c r="C73" s="189" t="s">
        <v>335</v>
      </c>
      <c r="D73" s="190">
        <v>0</v>
      </c>
      <c r="E73" s="191">
        <f>SUM(Cadastro!G6:G9)*D73</f>
        <v>0</v>
      </c>
      <c r="F73" s="50"/>
      <c r="G73" s="192" t="s">
        <v>349</v>
      </c>
      <c r="H73" s="152"/>
      <c r="I73" s="152"/>
    </row>
    <row r="74" spans="2:9" s="134" customFormat="1" ht="69" customHeight="1">
      <c r="B74" s="159" t="s">
        <v>228</v>
      </c>
      <c r="C74" s="193" t="s">
        <v>336</v>
      </c>
      <c r="D74" s="194">
        <v>0</v>
      </c>
      <c r="E74" s="40">
        <f>SUM(Cadastro!G12)*D74</f>
        <v>0</v>
      </c>
      <c r="F74" s="203"/>
      <c r="G74" s="195" t="s">
        <v>349</v>
      </c>
      <c r="H74" s="152"/>
      <c r="I74" s="152"/>
    </row>
    <row r="75" spans="2:9" s="134" customFormat="1" ht="42.75" customHeight="1">
      <c r="B75" s="437" t="s">
        <v>230</v>
      </c>
      <c r="C75" s="193" t="s">
        <v>337</v>
      </c>
      <c r="D75" s="194">
        <v>0</v>
      </c>
      <c r="E75" s="40">
        <f>SUM(Cadastro!G13)*D75</f>
        <v>0</v>
      </c>
      <c r="F75" s="203"/>
      <c r="G75" s="196" t="s">
        <v>349</v>
      </c>
      <c r="H75" s="152"/>
      <c r="I75" s="152"/>
    </row>
    <row r="76" spans="2:9" s="134" customFormat="1" ht="42.75" customHeight="1">
      <c r="B76" s="452"/>
      <c r="C76" s="189" t="s">
        <v>338</v>
      </c>
      <c r="D76" s="190">
        <v>0.187</v>
      </c>
      <c r="E76" s="191">
        <f>SUM(Cadastro!G16)*D76</f>
        <v>0</v>
      </c>
      <c r="F76" s="203"/>
      <c r="G76" s="197" t="e">
        <f>F76/E76</f>
        <v>#DIV/0!</v>
      </c>
      <c r="H76" s="152"/>
      <c r="I76" s="152"/>
    </row>
    <row r="77" spans="2:9" s="134" customFormat="1" ht="31.5" customHeight="1">
      <c r="B77" s="437" t="s">
        <v>229</v>
      </c>
      <c r="C77" s="193" t="s">
        <v>339</v>
      </c>
      <c r="D77" s="194">
        <v>0.054</v>
      </c>
      <c r="E77" s="40">
        <f>SUM(Cadastro!G16:G23)*D77</f>
        <v>0</v>
      </c>
      <c r="F77" s="203"/>
      <c r="G77" s="198" t="e">
        <f>F77/E77</f>
        <v>#DIV/0!</v>
      </c>
      <c r="H77" s="152"/>
      <c r="I77" s="152"/>
    </row>
    <row r="78" spans="2:9" s="134" customFormat="1" ht="31.5" customHeight="1">
      <c r="B78" s="438"/>
      <c r="C78" s="199" t="s">
        <v>340</v>
      </c>
      <c r="D78" s="190">
        <v>0.623</v>
      </c>
      <c r="E78" s="191">
        <f>SUM(Cadastro!G17:G26)*D78</f>
        <v>0</v>
      </c>
      <c r="F78" s="203"/>
      <c r="G78" s="128" t="e">
        <f>F78/E78</f>
        <v>#DIV/0!</v>
      </c>
      <c r="H78" s="152"/>
      <c r="I78" s="152"/>
    </row>
    <row r="79" spans="2:9" s="134" customFormat="1" ht="31.5" customHeight="1">
      <c r="B79" s="452" t="s">
        <v>231</v>
      </c>
      <c r="C79" s="193" t="s">
        <v>341</v>
      </c>
      <c r="D79" s="194">
        <v>0.423</v>
      </c>
      <c r="E79" s="40">
        <f>SUM(Cadastro!G26:G30)*D79</f>
        <v>0</v>
      </c>
      <c r="F79" s="203"/>
      <c r="G79" s="200" t="e">
        <f>F79/E79</f>
        <v>#DIV/0!</v>
      </c>
      <c r="H79" s="201"/>
      <c r="I79" s="152"/>
    </row>
    <row r="80" spans="2:9" s="134" customFormat="1" ht="31.5" customHeight="1">
      <c r="B80" s="436"/>
      <c r="C80" s="186" t="s">
        <v>342</v>
      </c>
      <c r="D80" s="149">
        <v>0.2</v>
      </c>
      <c r="E80" s="150">
        <f>SUM(Cadastro!G26:G30)*D80</f>
        <v>0</v>
      </c>
      <c r="F80" s="51"/>
      <c r="G80" s="129" t="e">
        <f>F80/E80</f>
        <v>#DIV/0!</v>
      </c>
      <c r="H80" s="152"/>
      <c r="I80" s="152"/>
    </row>
    <row r="81" spans="2:9" s="134" customFormat="1" ht="9.75" customHeight="1">
      <c r="B81" s="141"/>
      <c r="C81" s="141"/>
      <c r="D81" s="153"/>
      <c r="E81" s="154"/>
      <c r="F81" s="154"/>
      <c r="G81" s="143"/>
      <c r="H81" s="152"/>
      <c r="I81" s="152"/>
    </row>
    <row r="82" spans="1:9" s="134" customFormat="1" ht="34.5" customHeight="1">
      <c r="A82" s="144"/>
      <c r="B82" s="445" t="s">
        <v>286</v>
      </c>
      <c r="C82" s="446"/>
      <c r="D82" s="446"/>
      <c r="E82" s="446"/>
      <c r="F82" s="446"/>
      <c r="G82" s="447"/>
      <c r="H82" s="155"/>
      <c r="I82" s="158"/>
    </row>
    <row r="83" spans="2:9" s="134" customFormat="1" ht="9.75" customHeight="1" thickBot="1">
      <c r="B83" s="135"/>
      <c r="C83" s="135"/>
      <c r="D83" s="135"/>
      <c r="E83" s="135"/>
      <c r="F83" s="135"/>
      <c r="G83" s="135"/>
      <c r="H83" s="158"/>
      <c r="I83" s="158"/>
    </row>
    <row r="84" spans="2:10" s="134" customFormat="1" ht="51.75" customHeight="1">
      <c r="B84" s="137" t="s">
        <v>227</v>
      </c>
      <c r="C84" s="137" t="s">
        <v>343</v>
      </c>
      <c r="D84" s="161">
        <v>0.031</v>
      </c>
      <c r="E84" s="83">
        <f>Cadastro!G10*D84</f>
        <v>0</v>
      </c>
      <c r="F84" s="50"/>
      <c r="G84" s="147" t="e">
        <f>F84/E84</f>
        <v>#DIV/0!</v>
      </c>
      <c r="H84" s="152"/>
      <c r="I84" s="152"/>
      <c r="J84" s="31"/>
    </row>
    <row r="85" spans="2:10" s="134" customFormat="1" ht="51.75" customHeight="1">
      <c r="B85" s="137" t="s">
        <v>228</v>
      </c>
      <c r="C85" s="137" t="s">
        <v>344</v>
      </c>
      <c r="D85" s="161">
        <v>0.033</v>
      </c>
      <c r="E85" s="83">
        <f>Cadastro!G12*D85</f>
        <v>0</v>
      </c>
      <c r="F85" s="203"/>
      <c r="G85" s="147" t="e">
        <f>F85/E85</f>
        <v>#DIV/0!</v>
      </c>
      <c r="H85" s="152"/>
      <c r="I85" s="152"/>
      <c r="J85" s="31"/>
    </row>
    <row r="86" spans="2:10" s="134" customFormat="1" ht="51.75" customHeight="1">
      <c r="B86" s="137" t="s">
        <v>230</v>
      </c>
      <c r="C86" s="137" t="s">
        <v>345</v>
      </c>
      <c r="D86" s="161">
        <v>0.043</v>
      </c>
      <c r="E86" s="83">
        <f>Cadastro!G13*D86</f>
        <v>0</v>
      </c>
      <c r="F86" s="203"/>
      <c r="G86" s="147" t="e">
        <f>F86/E86</f>
        <v>#DIV/0!</v>
      </c>
      <c r="H86" s="152"/>
      <c r="I86" s="152"/>
      <c r="J86" s="31"/>
    </row>
    <row r="87" spans="2:10" s="134" customFormat="1" ht="51.75" customHeight="1">
      <c r="B87" s="137" t="s">
        <v>229</v>
      </c>
      <c r="C87" s="137" t="s">
        <v>346</v>
      </c>
      <c r="D87" s="161">
        <v>0.152</v>
      </c>
      <c r="E87" s="83">
        <f>SUM(Cadastro!G16:G23)*D87</f>
        <v>0</v>
      </c>
      <c r="F87" s="203"/>
      <c r="G87" s="147" t="e">
        <f>F87/E87</f>
        <v>#DIV/0!</v>
      </c>
      <c r="H87" s="152"/>
      <c r="I87" s="152"/>
      <c r="J87" s="31"/>
    </row>
    <row r="88" spans="2:10" s="134" customFormat="1" ht="51.75" customHeight="1">
      <c r="B88" s="139" t="s">
        <v>231</v>
      </c>
      <c r="C88" s="139" t="s">
        <v>347</v>
      </c>
      <c r="D88" s="166">
        <v>0.253</v>
      </c>
      <c r="E88" s="167">
        <f>SUM(Cadastro!G26:G30)*D88</f>
        <v>0</v>
      </c>
      <c r="F88" s="51"/>
      <c r="G88" s="129" t="e">
        <f>F88/E88</f>
        <v>#DIV/0!</v>
      </c>
      <c r="H88" s="152"/>
      <c r="I88" s="152"/>
      <c r="J88" s="31"/>
    </row>
    <row r="89" spans="2:11" ht="14.25">
      <c r="B89" s="202"/>
      <c r="I89" s="75"/>
      <c r="J89" s="75"/>
      <c r="K89" s="75"/>
    </row>
    <row r="90" spans="9:11" ht="14.25">
      <c r="I90" s="75"/>
      <c r="J90" s="75"/>
      <c r="K90" s="75"/>
    </row>
  </sheetData>
  <sheetProtection sheet="1" objects="1" scenarios="1"/>
  <mergeCells count="32">
    <mergeCell ref="B22:B24"/>
    <mergeCell ref="B34:B36"/>
    <mergeCell ref="B31:B33"/>
    <mergeCell ref="B28:B30"/>
    <mergeCell ref="C10:E10"/>
    <mergeCell ref="B2:G2"/>
    <mergeCell ref="B14:G14"/>
    <mergeCell ref="B6:G6"/>
    <mergeCell ref="B46:B51"/>
    <mergeCell ref="C8:E8"/>
    <mergeCell ref="G8:G12"/>
    <mergeCell ref="C12:E12"/>
    <mergeCell ref="B40:B45"/>
    <mergeCell ref="B20:G20"/>
    <mergeCell ref="B38:G38"/>
    <mergeCell ref="B25:B27"/>
    <mergeCell ref="C11:E11"/>
    <mergeCell ref="C9:E9"/>
    <mergeCell ref="B64:B69"/>
    <mergeCell ref="B58:B63"/>
    <mergeCell ref="B52:B57"/>
    <mergeCell ref="B71:G71"/>
    <mergeCell ref="B82:G82"/>
    <mergeCell ref="B5:G5"/>
    <mergeCell ref="C43:D43"/>
    <mergeCell ref="C49:D49"/>
    <mergeCell ref="C55:D55"/>
    <mergeCell ref="C61:D61"/>
    <mergeCell ref="C67:D67"/>
    <mergeCell ref="B79:B80"/>
    <mergeCell ref="B75:B76"/>
    <mergeCell ref="B77:B78"/>
  </mergeCells>
  <printOptions/>
  <pageMargins left="0.75" right="0.75" top="1" bottom="1" header="0.492125985" footer="0.492125985"/>
  <pageSetup horizontalDpi="300" verticalDpi="300" orientation="landscape" paperSize="9" scale="75" r:id="rId2"/>
  <rowBreaks count="3" manualBreakCount="3">
    <brk id="19" max="255" man="1"/>
    <brk id="37" max="255" man="1"/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6"/>
  <sheetViews>
    <sheetView zoomScale="80" zoomScaleNormal="80" zoomScaleSheetLayoutView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75" customWidth="1"/>
    <col min="2" max="2" width="24.7109375" style="75" customWidth="1"/>
    <col min="3" max="3" width="47.421875" style="75" customWidth="1"/>
    <col min="4" max="4" width="7.7109375" style="75" customWidth="1"/>
    <col min="5" max="5" width="17.28125" style="75" customWidth="1"/>
    <col min="6" max="6" width="2.7109375" style="75" customWidth="1"/>
    <col min="7" max="7" width="10.7109375" style="75" customWidth="1"/>
    <col min="8" max="8" width="7.7109375" style="75" customWidth="1"/>
    <col min="9" max="9" width="15.7109375" style="75" customWidth="1"/>
    <col min="10" max="10" width="7.7109375" style="75" customWidth="1"/>
    <col min="11" max="11" width="15.7109375" style="75" customWidth="1"/>
    <col min="12" max="12" width="12.7109375" style="75" customWidth="1"/>
    <col min="13" max="16384" width="9.140625" style="75" customWidth="1"/>
  </cols>
  <sheetData>
    <row r="1" ht="15" customHeight="1" thickBot="1"/>
    <row r="2" spans="2:13" ht="34.5" customHeight="1">
      <c r="B2" s="429" t="s">
        <v>83</v>
      </c>
      <c r="C2" s="523"/>
      <c r="D2" s="523"/>
      <c r="E2" s="523"/>
      <c r="F2" s="523"/>
      <c r="G2" s="523"/>
      <c r="H2" s="523"/>
      <c r="I2" s="523"/>
      <c r="J2" s="523"/>
      <c r="K2" s="523"/>
      <c r="L2" s="524"/>
      <c r="M2" s="81"/>
    </row>
    <row r="3" spans="2:12" ht="15" customHeight="1" thickBot="1">
      <c r="B3" s="530"/>
      <c r="C3" s="530"/>
      <c r="D3" s="530"/>
      <c r="E3" s="530"/>
      <c r="F3" s="531"/>
      <c r="G3" s="530"/>
      <c r="H3" s="530"/>
      <c r="I3" s="530"/>
      <c r="J3" s="530"/>
      <c r="K3" s="530"/>
      <c r="L3" s="530"/>
    </row>
    <row r="4" spans="1:12" ht="27.75" customHeight="1">
      <c r="A4" s="204"/>
      <c r="B4" s="526" t="s">
        <v>117</v>
      </c>
      <c r="C4" s="527"/>
      <c r="D4" s="528"/>
      <c r="E4" s="529"/>
      <c r="F4" s="205"/>
      <c r="G4" s="526" t="s">
        <v>124</v>
      </c>
      <c r="H4" s="527"/>
      <c r="I4" s="527"/>
      <c r="J4" s="527"/>
      <c r="K4" s="527"/>
      <c r="L4" s="529"/>
    </row>
    <row r="5" spans="2:12" ht="39.75" customHeight="1">
      <c r="B5" s="206" t="s">
        <v>120</v>
      </c>
      <c r="C5" s="407" t="s">
        <v>212</v>
      </c>
      <c r="D5" s="408"/>
      <c r="E5" s="208" t="s">
        <v>118</v>
      </c>
      <c r="F5" s="209"/>
      <c r="G5" s="210" t="s">
        <v>191</v>
      </c>
      <c r="H5" s="512" t="s">
        <v>350</v>
      </c>
      <c r="I5" s="512"/>
      <c r="J5" s="512" t="s">
        <v>123</v>
      </c>
      <c r="K5" s="512"/>
      <c r="L5" s="211" t="s">
        <v>122</v>
      </c>
    </row>
    <row r="6" spans="2:12" ht="15" customHeight="1" thickBot="1">
      <c r="B6" s="212"/>
      <c r="C6" s="212"/>
      <c r="D6" s="212"/>
      <c r="E6" s="212"/>
      <c r="F6" s="181"/>
      <c r="G6" s="212"/>
      <c r="H6" s="212"/>
      <c r="I6" s="212"/>
      <c r="J6" s="212"/>
      <c r="K6" s="212"/>
      <c r="L6" s="212"/>
    </row>
    <row r="7" spans="1:13" ht="30" customHeight="1">
      <c r="A7" s="204"/>
      <c r="B7" s="421" t="s">
        <v>301</v>
      </c>
      <c r="C7" s="405"/>
      <c r="D7" s="405"/>
      <c r="E7" s="405"/>
      <c r="F7" s="405"/>
      <c r="G7" s="405"/>
      <c r="H7" s="405"/>
      <c r="I7" s="405"/>
      <c r="J7" s="405"/>
      <c r="K7" s="405"/>
      <c r="L7" s="406"/>
      <c r="M7" s="81"/>
    </row>
    <row r="8" spans="2:12" ht="9.75" customHeight="1" thickBot="1">
      <c r="B8" s="111"/>
      <c r="C8" s="74"/>
      <c r="D8" s="74"/>
      <c r="E8" s="74"/>
      <c r="F8" s="74"/>
      <c r="G8" s="213"/>
      <c r="H8" s="111"/>
      <c r="I8" s="111"/>
      <c r="J8" s="111"/>
      <c r="K8" s="111"/>
      <c r="L8" s="111"/>
    </row>
    <row r="9" spans="2:12" ht="36" customHeight="1">
      <c r="B9" s="516" t="s">
        <v>351</v>
      </c>
      <c r="C9" s="513" t="s">
        <v>36</v>
      </c>
      <c r="D9" s="513"/>
      <c r="E9" s="454" t="s">
        <v>93</v>
      </c>
      <c r="F9" s="201"/>
      <c r="G9" s="263"/>
      <c r="H9" s="214">
        <f>SUM(Cadastro!G8:G9)*97.5%*G9</f>
        <v>0</v>
      </c>
      <c r="I9" s="215" t="s">
        <v>145</v>
      </c>
      <c r="J9" s="176">
        <f aca="true" t="shared" si="0" ref="J9:J17">H9/35*4</f>
        <v>0</v>
      </c>
      <c r="K9" s="215" t="s">
        <v>82</v>
      </c>
      <c r="L9" s="105" t="s">
        <v>54</v>
      </c>
    </row>
    <row r="10" spans="2:12" ht="36" customHeight="1">
      <c r="B10" s="516"/>
      <c r="C10" s="513"/>
      <c r="D10" s="513"/>
      <c r="E10" s="454"/>
      <c r="F10" s="201"/>
      <c r="G10" s="264"/>
      <c r="H10" s="216">
        <f>(Cadastro!G12*97.5%)*G10</f>
        <v>0</v>
      </c>
      <c r="I10" s="64" t="s">
        <v>136</v>
      </c>
      <c r="J10" s="217">
        <f t="shared" si="0"/>
        <v>0</v>
      </c>
      <c r="K10" s="64" t="s">
        <v>82</v>
      </c>
      <c r="L10" s="105" t="s">
        <v>54</v>
      </c>
    </row>
    <row r="11" spans="2:12" ht="36" customHeight="1">
      <c r="B11" s="516"/>
      <c r="C11" s="513"/>
      <c r="D11" s="513"/>
      <c r="E11" s="454"/>
      <c r="F11" s="201"/>
      <c r="G11" s="264"/>
      <c r="H11" s="214">
        <f>((Cadastro!G13)*97.5%-H14*21.72%)*G11</f>
        <v>0</v>
      </c>
      <c r="I11" s="215" t="s">
        <v>137</v>
      </c>
      <c r="J11" s="176">
        <f t="shared" si="0"/>
        <v>0</v>
      </c>
      <c r="K11" s="215" t="s">
        <v>82</v>
      </c>
      <c r="L11" s="105" t="s">
        <v>54</v>
      </c>
    </row>
    <row r="12" spans="2:12" ht="36" customHeight="1">
      <c r="B12" s="516"/>
      <c r="C12" s="513"/>
      <c r="D12" s="513"/>
      <c r="E12" s="454"/>
      <c r="F12" s="201"/>
      <c r="G12" s="264"/>
      <c r="H12" s="214">
        <f>(SUM(Cadastro!G16:G23)*92%*97.5%-H14*78.28%)*G12</f>
        <v>0</v>
      </c>
      <c r="I12" s="215" t="s">
        <v>138</v>
      </c>
      <c r="J12" s="176">
        <f t="shared" si="0"/>
        <v>0</v>
      </c>
      <c r="K12" s="215" t="s">
        <v>82</v>
      </c>
      <c r="L12" s="105" t="s">
        <v>54</v>
      </c>
    </row>
    <row r="13" spans="2:12" ht="36" customHeight="1">
      <c r="B13" s="516"/>
      <c r="C13" s="513"/>
      <c r="D13" s="513"/>
      <c r="E13" s="454"/>
      <c r="F13" s="201"/>
      <c r="G13" s="264"/>
      <c r="H13" s="214">
        <f>(SUM(Cadastro!G26:G30)*92%*97.5%)*G13</f>
        <v>0</v>
      </c>
      <c r="I13" s="215" t="s">
        <v>219</v>
      </c>
      <c r="J13" s="176">
        <f t="shared" si="0"/>
        <v>0</v>
      </c>
      <c r="K13" s="215" t="s">
        <v>82</v>
      </c>
      <c r="L13" s="105" t="s">
        <v>54</v>
      </c>
    </row>
    <row r="14" spans="2:12" ht="36" customHeight="1">
      <c r="B14" s="516"/>
      <c r="C14" s="513"/>
      <c r="D14" s="513"/>
      <c r="E14" s="454"/>
      <c r="F14" s="201"/>
      <c r="G14" s="264"/>
      <c r="H14" s="218">
        <f>(SitSaúde!E17*97.5%)*G14</f>
        <v>0</v>
      </c>
      <c r="I14" s="215" t="s">
        <v>107</v>
      </c>
      <c r="J14" s="94">
        <f t="shared" si="0"/>
        <v>0</v>
      </c>
      <c r="K14" s="219" t="s">
        <v>82</v>
      </c>
      <c r="L14" s="220" t="s">
        <v>54</v>
      </c>
    </row>
    <row r="15" spans="2:13" ht="36" customHeight="1">
      <c r="B15" s="516"/>
      <c r="C15" s="513"/>
      <c r="D15" s="513"/>
      <c r="E15" s="454"/>
      <c r="F15" s="201"/>
      <c r="G15" s="264"/>
      <c r="H15" s="216">
        <f>(SitSaúde!E16*97.5%)*G15</f>
        <v>0</v>
      </c>
      <c r="I15" s="215" t="s">
        <v>180</v>
      </c>
      <c r="J15" s="217">
        <f t="shared" si="0"/>
        <v>0</v>
      </c>
      <c r="K15" s="64" t="s">
        <v>82</v>
      </c>
      <c r="L15" s="105" t="s">
        <v>54</v>
      </c>
      <c r="M15" s="81"/>
    </row>
    <row r="16" spans="2:12" ht="36" customHeight="1">
      <c r="B16" s="516"/>
      <c r="C16" s="513"/>
      <c r="D16" s="513"/>
      <c r="E16" s="454"/>
      <c r="F16" s="221"/>
      <c r="G16" s="264"/>
      <c r="H16" s="214">
        <f>(SitSaúde!E18)*G16</f>
        <v>0</v>
      </c>
      <c r="I16" s="222" t="s">
        <v>139</v>
      </c>
      <c r="J16" s="176">
        <f t="shared" si="0"/>
        <v>0</v>
      </c>
      <c r="K16" s="215" t="s">
        <v>82</v>
      </c>
      <c r="L16" s="105" t="s">
        <v>54</v>
      </c>
    </row>
    <row r="17" spans="2:12" ht="59.25" customHeight="1">
      <c r="B17" s="420"/>
      <c r="C17" s="514"/>
      <c r="D17" s="514"/>
      <c r="E17" s="525"/>
      <c r="F17" s="223"/>
      <c r="G17" s="344"/>
      <c r="H17" s="224">
        <f>(SitSaúde!E45+SitSaúde!E51+SitSaúde!E57+SitSaúde!E63+SitSaúde!E69)*G17</f>
        <v>0</v>
      </c>
      <c r="I17" s="225" t="s">
        <v>140</v>
      </c>
      <c r="J17" s="226">
        <f t="shared" si="0"/>
        <v>0</v>
      </c>
      <c r="K17" s="227" t="s">
        <v>82</v>
      </c>
      <c r="L17" s="105" t="s">
        <v>54</v>
      </c>
    </row>
    <row r="18" spans="2:12" ht="15" customHeight="1" thickBot="1">
      <c r="B18" s="228"/>
      <c r="C18" s="228"/>
      <c r="D18" s="229"/>
      <c r="E18" s="181"/>
      <c r="F18" s="230"/>
      <c r="G18" s="231"/>
      <c r="H18" s="232"/>
      <c r="I18" s="233"/>
      <c r="J18" s="232"/>
      <c r="K18" s="234"/>
      <c r="L18" s="212"/>
    </row>
    <row r="19" spans="2:12" ht="30" customHeight="1">
      <c r="B19" s="421" t="s">
        <v>302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6"/>
    </row>
    <row r="20" spans="2:12" ht="9.75" customHeight="1" thickBot="1">
      <c r="B20" s="235"/>
      <c r="C20" s="236"/>
      <c r="D20" s="236"/>
      <c r="E20" s="236"/>
      <c r="F20" s="236"/>
      <c r="G20" s="235"/>
      <c r="H20" s="235"/>
      <c r="I20" s="236"/>
      <c r="J20" s="236"/>
      <c r="K20" s="236"/>
      <c r="L20" s="236"/>
    </row>
    <row r="21" spans="2:12" ht="29.25" customHeight="1">
      <c r="B21" s="516" t="s">
        <v>38</v>
      </c>
      <c r="C21" s="513" t="s">
        <v>37</v>
      </c>
      <c r="D21" s="513"/>
      <c r="E21" s="454" t="s">
        <v>241</v>
      </c>
      <c r="F21" s="201"/>
      <c r="G21" s="263"/>
      <c r="H21" s="214">
        <f>SitSaúde!F8*G21</f>
        <v>0</v>
      </c>
      <c r="I21" s="222" t="s">
        <v>404</v>
      </c>
      <c r="J21" s="176">
        <f>H21*2</f>
        <v>0</v>
      </c>
      <c r="K21" s="215" t="s">
        <v>81</v>
      </c>
      <c r="L21" s="105" t="s">
        <v>54</v>
      </c>
    </row>
    <row r="22" spans="2:12" ht="29.25" customHeight="1">
      <c r="B22" s="516"/>
      <c r="C22" s="513"/>
      <c r="D22" s="513"/>
      <c r="E22" s="454"/>
      <c r="F22" s="201"/>
      <c r="G22" s="264"/>
      <c r="H22" s="216">
        <f>SitSaúde!F9*G22</f>
        <v>0</v>
      </c>
      <c r="I22" s="237" t="s">
        <v>405</v>
      </c>
      <c r="J22" s="217">
        <f>H22*2</f>
        <v>0</v>
      </c>
      <c r="K22" s="64" t="s">
        <v>81</v>
      </c>
      <c r="L22" s="105" t="s">
        <v>54</v>
      </c>
    </row>
    <row r="23" spans="2:12" ht="29.25" customHeight="1">
      <c r="B23" s="516"/>
      <c r="C23" s="513"/>
      <c r="D23" s="513"/>
      <c r="E23" s="454"/>
      <c r="F23" s="201"/>
      <c r="G23" s="264"/>
      <c r="H23" s="216">
        <f>SitSaúde!F10*G23</f>
        <v>0</v>
      </c>
      <c r="I23" s="237" t="s">
        <v>406</v>
      </c>
      <c r="J23" s="217">
        <f>H23*2</f>
        <v>0</v>
      </c>
      <c r="K23" s="64" t="s">
        <v>81</v>
      </c>
      <c r="L23" s="105" t="s">
        <v>54</v>
      </c>
    </row>
    <row r="24" spans="2:12" ht="29.25" customHeight="1">
      <c r="B24" s="516"/>
      <c r="C24" s="513"/>
      <c r="D24" s="513"/>
      <c r="E24" s="454"/>
      <c r="F24" s="201"/>
      <c r="G24" s="264"/>
      <c r="H24" s="216">
        <f>SitSaúde!F11*G24</f>
        <v>0</v>
      </c>
      <c r="I24" s="237" t="s">
        <v>407</v>
      </c>
      <c r="J24" s="217">
        <f>H24*2</f>
        <v>0</v>
      </c>
      <c r="K24" s="64" t="s">
        <v>81</v>
      </c>
      <c r="L24" s="105" t="s">
        <v>54</v>
      </c>
    </row>
    <row r="25" spans="2:12" ht="29.25" customHeight="1">
      <c r="B25" s="420"/>
      <c r="C25" s="514"/>
      <c r="D25" s="514"/>
      <c r="E25" s="525"/>
      <c r="F25" s="201"/>
      <c r="G25" s="344"/>
      <c r="H25" s="216">
        <f>SitSaúde!F12*G25</f>
        <v>0</v>
      </c>
      <c r="I25" s="64" t="s">
        <v>408</v>
      </c>
      <c r="J25" s="217">
        <f>H25*2</f>
        <v>0</v>
      </c>
      <c r="K25" s="64" t="s">
        <v>81</v>
      </c>
      <c r="L25" s="105" t="s">
        <v>54</v>
      </c>
    </row>
    <row r="26" spans="2:12" ht="15" customHeight="1" thickBot="1">
      <c r="B26" s="156"/>
      <c r="C26" s="238"/>
      <c r="D26" s="238"/>
      <c r="E26" s="239"/>
      <c r="F26" s="152"/>
      <c r="G26" s="240"/>
      <c r="H26" s="241"/>
      <c r="I26" s="242"/>
      <c r="J26" s="241"/>
      <c r="K26" s="242"/>
      <c r="L26" s="239"/>
    </row>
    <row r="27" spans="2:12" ht="30" customHeight="1">
      <c r="B27" s="421" t="s">
        <v>303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6"/>
    </row>
    <row r="28" spans="2:12" ht="9.75" customHeight="1" thickBot="1">
      <c r="B28" s="238"/>
      <c r="C28" s="238"/>
      <c r="D28" s="238"/>
      <c r="E28" s="239"/>
      <c r="F28" s="152"/>
      <c r="G28" s="243"/>
      <c r="H28" s="241"/>
      <c r="I28" s="242"/>
      <c r="J28" s="241"/>
      <c r="K28" s="242"/>
      <c r="L28" s="239"/>
    </row>
    <row r="29" spans="2:12" ht="171" customHeight="1">
      <c r="B29" s="533" t="s">
        <v>44</v>
      </c>
      <c r="C29" s="515" t="s">
        <v>409</v>
      </c>
      <c r="D29" s="516"/>
      <c r="E29" s="525" t="s">
        <v>241</v>
      </c>
      <c r="F29" s="223"/>
      <c r="G29" s="263"/>
      <c r="H29" s="214">
        <f>Cadastro!G9*G9+H10</f>
        <v>0</v>
      </c>
      <c r="I29" s="244" t="s">
        <v>33</v>
      </c>
      <c r="J29" s="65">
        <f>H29*4</f>
        <v>0</v>
      </c>
      <c r="K29" s="222" t="s">
        <v>142</v>
      </c>
      <c r="L29" s="39" t="s">
        <v>54</v>
      </c>
    </row>
    <row r="30" spans="2:12" ht="171" customHeight="1">
      <c r="B30" s="534"/>
      <c r="C30" s="419"/>
      <c r="D30" s="420"/>
      <c r="E30" s="532"/>
      <c r="F30" s="223"/>
      <c r="G30" s="344"/>
      <c r="H30" s="224">
        <f>SitSaúde!E57*Tratamento!F26+SitSaúde!E63*Tratamento!F35+SitSaúde!E69*Tratamento!F44</f>
        <v>0</v>
      </c>
      <c r="I30" s="245" t="s">
        <v>239</v>
      </c>
      <c r="J30" s="246">
        <f>H30*4</f>
        <v>0</v>
      </c>
      <c r="K30" s="225" t="s">
        <v>142</v>
      </c>
      <c r="L30" s="36" t="s">
        <v>54</v>
      </c>
    </row>
    <row r="31" spans="2:12" ht="15" customHeight="1" thickBot="1">
      <c r="B31" s="535"/>
      <c r="C31" s="535"/>
      <c r="D31" s="535"/>
      <c r="E31" s="535"/>
      <c r="F31" s="536"/>
      <c r="G31" s="535"/>
      <c r="H31" s="535"/>
      <c r="I31" s="535"/>
      <c r="J31" s="535"/>
      <c r="K31" s="535"/>
      <c r="L31" s="535"/>
    </row>
    <row r="32" spans="2:12" ht="30" customHeight="1">
      <c r="B32" s="421" t="s">
        <v>304</v>
      </c>
      <c r="C32" s="405"/>
      <c r="D32" s="405"/>
      <c r="E32" s="405"/>
      <c r="F32" s="405"/>
      <c r="G32" s="405"/>
      <c r="H32" s="405"/>
      <c r="I32" s="405"/>
      <c r="J32" s="405"/>
      <c r="K32" s="405"/>
      <c r="L32" s="406"/>
    </row>
    <row r="33" ht="9.75" customHeight="1" thickBot="1"/>
    <row r="34" spans="2:12" ht="129" customHeight="1">
      <c r="B34" s="157" t="s">
        <v>46</v>
      </c>
      <c r="C34" s="419" t="s">
        <v>45</v>
      </c>
      <c r="D34" s="420"/>
      <c r="E34" s="187" t="s">
        <v>119</v>
      </c>
      <c r="F34" s="221"/>
      <c r="G34" s="263">
        <v>0.1</v>
      </c>
      <c r="H34" s="224">
        <f>(Cadastro!D42)*G34</f>
        <v>0</v>
      </c>
      <c r="I34" s="247" t="s">
        <v>90</v>
      </c>
      <c r="J34" s="246">
        <f>H34*1</f>
        <v>0</v>
      </c>
      <c r="K34" s="247" t="s">
        <v>121</v>
      </c>
      <c r="L34" s="187" t="s">
        <v>54</v>
      </c>
    </row>
    <row r="35" spans="2:12" ht="15" customHeight="1" thickBot="1">
      <c r="B35" s="248"/>
      <c r="C35" s="248"/>
      <c r="D35" s="248"/>
      <c r="E35" s="212"/>
      <c r="F35" s="230"/>
      <c r="G35" s="212"/>
      <c r="H35" s="249"/>
      <c r="I35" s="250"/>
      <c r="J35" s="249"/>
      <c r="K35" s="250"/>
      <c r="L35" s="212"/>
    </row>
    <row r="36" spans="2:12" ht="30" customHeight="1">
      <c r="B36" s="421" t="s">
        <v>85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6"/>
    </row>
    <row r="37" spans="2:12" ht="9.75" customHeight="1" thickBot="1">
      <c r="B37" s="251"/>
      <c r="C37" s="251"/>
      <c r="D37" s="251"/>
      <c r="E37" s="239"/>
      <c r="F37" s="252"/>
      <c r="G37" s="239"/>
      <c r="H37" s="241"/>
      <c r="I37" s="254"/>
      <c r="J37" s="241"/>
      <c r="K37" s="255"/>
      <c r="L37" s="239"/>
    </row>
    <row r="38" spans="2:12" ht="31.5" customHeight="1">
      <c r="B38" s="520" t="s">
        <v>47</v>
      </c>
      <c r="C38" s="519" t="s">
        <v>48</v>
      </c>
      <c r="D38" s="519"/>
      <c r="E38" s="469" t="s">
        <v>119</v>
      </c>
      <c r="F38" s="152"/>
      <c r="G38" s="416"/>
      <c r="H38" s="413">
        <f>Cadastro!G10*G38</f>
        <v>0</v>
      </c>
      <c r="I38" s="415" t="s">
        <v>135</v>
      </c>
      <c r="J38" s="435">
        <f>H38*4</f>
        <v>0</v>
      </c>
      <c r="K38" s="410" t="s">
        <v>55</v>
      </c>
      <c r="L38" s="469" t="s">
        <v>54</v>
      </c>
    </row>
    <row r="39" spans="2:12" ht="31.5" customHeight="1">
      <c r="B39" s="521"/>
      <c r="C39" s="517"/>
      <c r="D39" s="517"/>
      <c r="E39" s="487"/>
      <c r="F39" s="152"/>
      <c r="G39" s="417"/>
      <c r="H39" s="414"/>
      <c r="I39" s="434"/>
      <c r="J39" s="409"/>
      <c r="K39" s="411"/>
      <c r="L39" s="487"/>
    </row>
    <row r="40" spans="2:12" ht="63" customHeight="1">
      <c r="B40" s="521"/>
      <c r="C40" s="517"/>
      <c r="D40" s="517"/>
      <c r="E40" s="487"/>
      <c r="F40" s="152"/>
      <c r="G40" s="264"/>
      <c r="H40" s="216">
        <f>Cadastro!G12*G40</f>
        <v>0</v>
      </c>
      <c r="I40" s="64" t="s">
        <v>136</v>
      </c>
      <c r="J40" s="66">
        <f>H40*4</f>
        <v>0</v>
      </c>
      <c r="K40" s="67" t="s">
        <v>55</v>
      </c>
      <c r="L40" s="82" t="s">
        <v>54</v>
      </c>
    </row>
    <row r="41" spans="2:12" ht="42" customHeight="1">
      <c r="B41" s="521"/>
      <c r="C41" s="193" t="s">
        <v>49</v>
      </c>
      <c r="D41" s="256" t="e">
        <f>Cadastro!G51</f>
        <v>#DIV/0!</v>
      </c>
      <c r="E41" s="487"/>
      <c r="F41" s="152"/>
      <c r="G41" s="418"/>
      <c r="H41" s="414">
        <f>Cadastro!G13*G41</f>
        <v>0</v>
      </c>
      <c r="I41" s="434" t="s">
        <v>137</v>
      </c>
      <c r="J41" s="409">
        <f>H41*4</f>
        <v>0</v>
      </c>
      <c r="K41" s="411" t="s">
        <v>55</v>
      </c>
      <c r="L41" s="469" t="s">
        <v>54</v>
      </c>
    </row>
    <row r="42" spans="2:12" ht="42" customHeight="1">
      <c r="B42" s="521"/>
      <c r="C42" s="193" t="s">
        <v>50</v>
      </c>
      <c r="D42" s="257" t="e">
        <f>SUM(Cadastro!F51:G51)</f>
        <v>#DIV/0!</v>
      </c>
      <c r="E42" s="487"/>
      <c r="G42" s="417"/>
      <c r="H42" s="414"/>
      <c r="I42" s="434"/>
      <c r="J42" s="409"/>
      <c r="K42" s="411"/>
      <c r="L42" s="487"/>
    </row>
    <row r="43" spans="2:12" ht="42" customHeight="1">
      <c r="B43" s="521"/>
      <c r="C43" s="193" t="s">
        <v>51</v>
      </c>
      <c r="D43" s="257" t="e">
        <f>SUM(Cadastro!E51:G51)</f>
        <v>#DIV/0!</v>
      </c>
      <c r="E43" s="487"/>
      <c r="G43" s="418"/>
      <c r="H43" s="414">
        <f>Cadastro!G24*G43</f>
        <v>0</v>
      </c>
      <c r="I43" s="434" t="s">
        <v>138</v>
      </c>
      <c r="J43" s="409">
        <f>H43*4</f>
        <v>0</v>
      </c>
      <c r="K43" s="411" t="s">
        <v>55</v>
      </c>
      <c r="L43" s="469" t="s">
        <v>54</v>
      </c>
    </row>
    <row r="44" spans="2:12" ht="42" customHeight="1">
      <c r="B44" s="521"/>
      <c r="C44" s="517" t="s">
        <v>53</v>
      </c>
      <c r="D44" s="517"/>
      <c r="E44" s="487"/>
      <c r="G44" s="417"/>
      <c r="H44" s="414"/>
      <c r="I44" s="434"/>
      <c r="J44" s="409"/>
      <c r="K44" s="411"/>
      <c r="L44" s="487"/>
    </row>
    <row r="45" spans="2:12" ht="84" customHeight="1">
      <c r="B45" s="522"/>
      <c r="C45" s="518"/>
      <c r="D45" s="518"/>
      <c r="E45" s="412"/>
      <c r="G45" s="265"/>
      <c r="H45" s="258">
        <f>Cadastro!G31*G45</f>
        <v>0</v>
      </c>
      <c r="I45" s="259" t="s">
        <v>219</v>
      </c>
      <c r="J45" s="260">
        <f>H45*4</f>
        <v>0</v>
      </c>
      <c r="K45" s="261" t="s">
        <v>55</v>
      </c>
      <c r="L45" s="262" t="s">
        <v>54</v>
      </c>
    </row>
    <row r="46" ht="14.25">
      <c r="G46" s="202"/>
    </row>
  </sheetData>
  <sheetProtection sheet="1" objects="1" scenarios="1"/>
  <mergeCells count="45">
    <mergeCell ref="B36:L36"/>
    <mergeCell ref="E29:E30"/>
    <mergeCell ref="B29:B30"/>
    <mergeCell ref="J5:K5"/>
    <mergeCell ref="H5:I5"/>
    <mergeCell ref="B19:L19"/>
    <mergeCell ref="B27:L27"/>
    <mergeCell ref="B21:B25"/>
    <mergeCell ref="E21:E25"/>
    <mergeCell ref="B31:L31"/>
    <mergeCell ref="C44:D45"/>
    <mergeCell ref="C38:D40"/>
    <mergeCell ref="B38:B45"/>
    <mergeCell ref="B2:L2"/>
    <mergeCell ref="B7:L7"/>
    <mergeCell ref="B9:B17"/>
    <mergeCell ref="E9:E17"/>
    <mergeCell ref="B4:E4"/>
    <mergeCell ref="G4:L4"/>
    <mergeCell ref="B3:L3"/>
    <mergeCell ref="C34:D34"/>
    <mergeCell ref="B32:L32"/>
    <mergeCell ref="C5:D5"/>
    <mergeCell ref="C9:D17"/>
    <mergeCell ref="C21:D25"/>
    <mergeCell ref="C29:D30"/>
    <mergeCell ref="E38:E45"/>
    <mergeCell ref="H38:H39"/>
    <mergeCell ref="I38:I39"/>
    <mergeCell ref="H41:H42"/>
    <mergeCell ref="I41:I42"/>
    <mergeCell ref="H43:H44"/>
    <mergeCell ref="G38:G39"/>
    <mergeCell ref="G41:G42"/>
    <mergeCell ref="G43:G44"/>
    <mergeCell ref="L38:L39"/>
    <mergeCell ref="L41:L42"/>
    <mergeCell ref="L43:L44"/>
    <mergeCell ref="I43:I44"/>
    <mergeCell ref="J38:J39"/>
    <mergeCell ref="K38:K39"/>
    <mergeCell ref="K41:K42"/>
    <mergeCell ref="J41:J42"/>
    <mergeCell ref="K43:K44"/>
    <mergeCell ref="J43:J44"/>
  </mergeCells>
  <printOptions horizontalCentered="1"/>
  <pageMargins left="0.2362204724409449" right="0.2755905511811024" top="0.4724409448818898" bottom="0.4724409448818898" header="0.5118110236220472" footer="0.5118110236220472"/>
  <pageSetup horizontalDpi="300" verticalDpi="3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76" customWidth="1"/>
    <col min="2" max="2" width="24.7109375" style="76" customWidth="1"/>
    <col min="3" max="3" width="57.140625" style="76" customWidth="1"/>
    <col min="4" max="4" width="17.28125" style="76" customWidth="1"/>
    <col min="5" max="5" width="2.7109375" style="76" customWidth="1"/>
    <col min="6" max="6" width="10.7109375" style="76" customWidth="1"/>
    <col min="7" max="7" width="7.7109375" style="76" customWidth="1"/>
    <col min="8" max="8" width="17.7109375" style="76" customWidth="1"/>
    <col min="9" max="9" width="7.7109375" style="76" customWidth="1"/>
    <col min="10" max="10" width="14.140625" style="76" customWidth="1"/>
    <col min="11" max="11" width="11.28125" style="76" customWidth="1"/>
    <col min="12" max="16384" width="9.140625" style="76" customWidth="1"/>
  </cols>
  <sheetData>
    <row r="1" spans="1:11" ht="1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4.5" customHeight="1">
      <c r="A2" s="75"/>
      <c r="B2" s="429" t="s">
        <v>352</v>
      </c>
      <c r="C2" s="523"/>
      <c r="D2" s="523"/>
      <c r="E2" s="523"/>
      <c r="F2" s="523"/>
      <c r="G2" s="523"/>
      <c r="H2" s="523"/>
      <c r="I2" s="523"/>
      <c r="J2" s="523"/>
      <c r="K2" s="524"/>
    </row>
    <row r="3" spans="1:11" ht="15" customHeight="1" thickBot="1">
      <c r="A3" s="75"/>
      <c r="B3" s="530"/>
      <c r="C3" s="530"/>
      <c r="D3" s="530"/>
      <c r="E3" s="531"/>
      <c r="F3" s="530"/>
      <c r="G3" s="530"/>
      <c r="H3" s="530"/>
      <c r="I3" s="530"/>
      <c r="J3" s="530"/>
      <c r="K3" s="530"/>
    </row>
    <row r="4" spans="1:11" ht="27.75" customHeight="1">
      <c r="A4" s="204"/>
      <c r="B4" s="526" t="s">
        <v>117</v>
      </c>
      <c r="C4" s="527"/>
      <c r="D4" s="529"/>
      <c r="E4" s="205"/>
      <c r="F4" s="526" t="s">
        <v>124</v>
      </c>
      <c r="G4" s="527"/>
      <c r="H4" s="527"/>
      <c r="I4" s="527"/>
      <c r="J4" s="527"/>
      <c r="K4" s="529"/>
    </row>
    <row r="5" spans="1:11" ht="39.75" customHeight="1">
      <c r="A5" s="75"/>
      <c r="B5" s="206" t="s">
        <v>120</v>
      </c>
      <c r="C5" s="90" t="s">
        <v>212</v>
      </c>
      <c r="D5" s="208" t="s">
        <v>118</v>
      </c>
      <c r="E5" s="205"/>
      <c r="F5" s="210" t="s">
        <v>191</v>
      </c>
      <c r="G5" s="512" t="s">
        <v>350</v>
      </c>
      <c r="H5" s="512"/>
      <c r="I5" s="512" t="s">
        <v>123</v>
      </c>
      <c r="J5" s="512"/>
      <c r="K5" s="211" t="s">
        <v>122</v>
      </c>
    </row>
    <row r="6" spans="1:11" ht="15" customHeight="1" thickBot="1">
      <c r="A6" s="75"/>
      <c r="B6" s="266"/>
      <c r="C6" s="266"/>
      <c r="D6" s="266"/>
      <c r="E6" s="181"/>
      <c r="F6" s="266"/>
      <c r="G6" s="266"/>
      <c r="H6" s="267"/>
      <c r="I6" s="267"/>
      <c r="J6" s="267"/>
      <c r="K6" s="267"/>
    </row>
    <row r="7" spans="2:11" s="75" customFormat="1" ht="30" customHeight="1">
      <c r="B7" s="421" t="s">
        <v>34</v>
      </c>
      <c r="C7" s="405"/>
      <c r="D7" s="405"/>
      <c r="E7" s="405"/>
      <c r="F7" s="405"/>
      <c r="G7" s="405"/>
      <c r="H7" s="405"/>
      <c r="I7" s="405"/>
      <c r="J7" s="405"/>
      <c r="K7" s="406"/>
    </row>
    <row r="8" spans="2:11" s="75" customFormat="1" ht="15" customHeight="1" thickBot="1">
      <c r="B8" s="31"/>
      <c r="C8" s="31"/>
      <c r="D8" s="31"/>
      <c r="E8" s="31"/>
      <c r="F8" s="212"/>
      <c r="G8" s="31"/>
      <c r="H8" s="31"/>
      <c r="I8" s="31"/>
      <c r="J8" s="31"/>
      <c r="K8" s="220"/>
    </row>
    <row r="9" spans="2:11" s="75" customFormat="1" ht="34.5" customHeight="1">
      <c r="B9" s="516" t="s">
        <v>56</v>
      </c>
      <c r="C9" s="513" t="s">
        <v>60</v>
      </c>
      <c r="D9" s="454" t="s">
        <v>134</v>
      </c>
      <c r="E9" s="221"/>
      <c r="F9" s="343"/>
      <c r="G9" s="214">
        <f>(SUM(Cadastro!G8:G9)*97.5%)*F9</f>
        <v>0</v>
      </c>
      <c r="H9" s="215" t="s">
        <v>145</v>
      </c>
      <c r="I9" s="176">
        <f aca="true" t="shared" si="0" ref="I9:I16">G9*1</f>
        <v>0</v>
      </c>
      <c r="J9" s="215" t="s">
        <v>59</v>
      </c>
      <c r="K9" s="105" t="s">
        <v>54</v>
      </c>
    </row>
    <row r="10" spans="2:11" s="75" customFormat="1" ht="34.5" customHeight="1">
      <c r="B10" s="516"/>
      <c r="C10" s="513"/>
      <c r="D10" s="454"/>
      <c r="E10" s="221"/>
      <c r="F10" s="264"/>
      <c r="G10" s="216">
        <f>(Cadastro!G12*97.5%)*F10</f>
        <v>0</v>
      </c>
      <c r="H10" s="64" t="s">
        <v>136</v>
      </c>
      <c r="I10" s="217">
        <f t="shared" si="0"/>
        <v>0</v>
      </c>
      <c r="J10" s="215" t="s">
        <v>59</v>
      </c>
      <c r="K10" s="102" t="s">
        <v>54</v>
      </c>
    </row>
    <row r="11" spans="2:11" s="75" customFormat="1" ht="34.5" customHeight="1">
      <c r="B11" s="516"/>
      <c r="C11" s="513"/>
      <c r="D11" s="454"/>
      <c r="E11" s="221"/>
      <c r="F11" s="264"/>
      <c r="G11" s="216">
        <f>((Cadastro!G13)*97.5%-G14*21.72%)*F11</f>
        <v>0</v>
      </c>
      <c r="H11" s="64" t="s">
        <v>137</v>
      </c>
      <c r="I11" s="217">
        <f t="shared" si="0"/>
        <v>0</v>
      </c>
      <c r="J11" s="215" t="s">
        <v>59</v>
      </c>
      <c r="K11" s="102" t="s">
        <v>54</v>
      </c>
    </row>
    <row r="12" spans="2:11" s="75" customFormat="1" ht="34.5" customHeight="1">
      <c r="B12" s="516"/>
      <c r="C12" s="513"/>
      <c r="D12" s="454"/>
      <c r="E12" s="221"/>
      <c r="F12" s="264"/>
      <c r="G12" s="216">
        <f>(SUM(Cadastro!G16:G23)*92%*97.5%-G14*78.28%)*F12</f>
        <v>0</v>
      </c>
      <c r="H12" s="64" t="s">
        <v>138</v>
      </c>
      <c r="I12" s="217">
        <f t="shared" si="0"/>
        <v>0</v>
      </c>
      <c r="J12" s="215" t="s">
        <v>59</v>
      </c>
      <c r="K12" s="102" t="s">
        <v>54</v>
      </c>
    </row>
    <row r="13" spans="2:11" s="75" customFormat="1" ht="34.5" customHeight="1">
      <c r="B13" s="516"/>
      <c r="C13" s="513"/>
      <c r="D13" s="454"/>
      <c r="E13" s="221"/>
      <c r="F13" s="264"/>
      <c r="G13" s="216">
        <f>(SUM(Cadastro!G26:G30)*92%*97.5%)*F13</f>
        <v>0</v>
      </c>
      <c r="H13" s="64" t="s">
        <v>219</v>
      </c>
      <c r="I13" s="217">
        <f t="shared" si="0"/>
        <v>0</v>
      </c>
      <c r="J13" s="215" t="s">
        <v>59</v>
      </c>
      <c r="K13" s="102" t="s">
        <v>54</v>
      </c>
    </row>
    <row r="14" spans="2:11" s="75" customFormat="1" ht="34.5" customHeight="1">
      <c r="B14" s="516"/>
      <c r="C14" s="513"/>
      <c r="D14" s="454"/>
      <c r="E14" s="221"/>
      <c r="F14" s="264"/>
      <c r="G14" s="216">
        <f>(SitSaúde!E17*97.5%)*F14</f>
        <v>0</v>
      </c>
      <c r="H14" s="237" t="s">
        <v>107</v>
      </c>
      <c r="I14" s="217">
        <f t="shared" si="0"/>
        <v>0</v>
      </c>
      <c r="J14" s="215" t="s">
        <v>59</v>
      </c>
      <c r="K14" s="102" t="s">
        <v>54</v>
      </c>
    </row>
    <row r="15" spans="2:11" s="75" customFormat="1" ht="34.5" customHeight="1">
      <c r="B15" s="516"/>
      <c r="C15" s="513"/>
      <c r="D15" s="454"/>
      <c r="E15" s="221"/>
      <c r="F15" s="264"/>
      <c r="G15" s="216">
        <f>(SitSaúde!E16*97.5%)*F15</f>
        <v>0</v>
      </c>
      <c r="H15" s="237" t="s">
        <v>180</v>
      </c>
      <c r="I15" s="217">
        <f t="shared" si="0"/>
        <v>0</v>
      </c>
      <c r="J15" s="215" t="s">
        <v>59</v>
      </c>
      <c r="K15" s="102" t="s">
        <v>54</v>
      </c>
    </row>
    <row r="16" spans="2:11" s="75" customFormat="1" ht="34.5" customHeight="1">
      <c r="B16" s="420"/>
      <c r="C16" s="514"/>
      <c r="D16" s="525"/>
      <c r="E16" s="221"/>
      <c r="F16" s="264"/>
      <c r="G16" s="224">
        <f>(SitSaúde!E18)*F16</f>
        <v>0</v>
      </c>
      <c r="H16" s="225" t="s">
        <v>139</v>
      </c>
      <c r="I16" s="226">
        <f t="shared" si="0"/>
        <v>0</v>
      </c>
      <c r="J16" s="215" t="s">
        <v>59</v>
      </c>
      <c r="K16" s="102" t="s">
        <v>54</v>
      </c>
    </row>
    <row r="17" spans="2:11" s="75" customFormat="1" ht="15" customHeight="1" thickBot="1">
      <c r="B17" s="228"/>
      <c r="C17" s="229"/>
      <c r="D17" s="181"/>
      <c r="E17" s="230"/>
      <c r="F17" s="231"/>
      <c r="G17" s="249"/>
      <c r="H17" s="233"/>
      <c r="I17" s="249"/>
      <c r="J17" s="268"/>
      <c r="K17" s="212"/>
    </row>
    <row r="18" spans="1:11" s="75" customFormat="1" ht="30" customHeight="1">
      <c r="A18" s="204"/>
      <c r="B18" s="421" t="s">
        <v>35</v>
      </c>
      <c r="C18" s="405"/>
      <c r="D18" s="405"/>
      <c r="E18" s="405"/>
      <c r="F18" s="405"/>
      <c r="G18" s="405"/>
      <c r="H18" s="405"/>
      <c r="I18" s="405"/>
      <c r="J18" s="405"/>
      <c r="K18" s="406"/>
    </row>
    <row r="19" spans="2:11" s="75" customFormat="1" ht="15" customHeight="1" thickBot="1">
      <c r="B19" s="239"/>
      <c r="C19" s="239"/>
      <c r="D19" s="239"/>
      <c r="E19" s="239"/>
      <c r="F19" s="239"/>
      <c r="G19" s="239"/>
      <c r="H19" s="239"/>
      <c r="I19" s="239"/>
      <c r="J19" s="239"/>
      <c r="K19" s="269"/>
    </row>
    <row r="20" spans="2:11" s="75" customFormat="1" ht="35.25" customHeight="1">
      <c r="B20" s="516" t="s">
        <v>57</v>
      </c>
      <c r="C20" s="513" t="s">
        <v>61</v>
      </c>
      <c r="D20" s="454" t="s">
        <v>134</v>
      </c>
      <c r="E20" s="221"/>
      <c r="F20" s="263"/>
      <c r="G20" s="214">
        <f>SitSaúde!E45*97.5%*F20</f>
        <v>0</v>
      </c>
      <c r="H20" s="215" t="s">
        <v>135</v>
      </c>
      <c r="I20" s="176">
        <f aca="true" t="shared" si="1" ref="I20:I27">G20</f>
        <v>0</v>
      </c>
      <c r="J20" s="215" t="s">
        <v>58</v>
      </c>
      <c r="K20" s="82" t="s">
        <v>54</v>
      </c>
    </row>
    <row r="21" spans="2:11" s="75" customFormat="1" ht="35.25" customHeight="1">
      <c r="B21" s="516"/>
      <c r="C21" s="513"/>
      <c r="D21" s="454"/>
      <c r="E21" s="221"/>
      <c r="F21" s="264"/>
      <c r="G21" s="216">
        <f>SitSaúde!E51*97.5%*F21</f>
        <v>0</v>
      </c>
      <c r="H21" s="64" t="s">
        <v>136</v>
      </c>
      <c r="I21" s="217">
        <f t="shared" si="1"/>
        <v>0</v>
      </c>
      <c r="J21" s="215" t="s">
        <v>58</v>
      </c>
      <c r="K21" s="102" t="s">
        <v>54</v>
      </c>
    </row>
    <row r="22" spans="2:11" s="75" customFormat="1" ht="35.25" customHeight="1">
      <c r="B22" s="516"/>
      <c r="C22" s="513"/>
      <c r="D22" s="454"/>
      <c r="E22" s="221"/>
      <c r="F22" s="264"/>
      <c r="G22" s="216">
        <f>(SitSaúde!E57*97.5%-G25*21.72%)*F22</f>
        <v>0</v>
      </c>
      <c r="H22" s="64" t="s">
        <v>137</v>
      </c>
      <c r="I22" s="217">
        <f t="shared" si="1"/>
        <v>0</v>
      </c>
      <c r="J22" s="215" t="s">
        <v>58</v>
      </c>
      <c r="K22" s="102" t="s">
        <v>54</v>
      </c>
    </row>
    <row r="23" spans="2:11" s="75" customFormat="1" ht="35.25" customHeight="1">
      <c r="B23" s="516"/>
      <c r="C23" s="513"/>
      <c r="D23" s="454"/>
      <c r="E23" s="221"/>
      <c r="F23" s="264"/>
      <c r="G23" s="216">
        <f>(SitSaúde!E63*92%*97.5%-G25*78.28%)*F23</f>
        <v>0</v>
      </c>
      <c r="H23" s="64" t="s">
        <v>138</v>
      </c>
      <c r="I23" s="217">
        <f t="shared" si="1"/>
        <v>0</v>
      </c>
      <c r="J23" s="215" t="s">
        <v>58</v>
      </c>
      <c r="K23" s="102" t="s">
        <v>54</v>
      </c>
    </row>
    <row r="24" spans="2:11" s="75" customFormat="1" ht="35.25" customHeight="1">
      <c r="B24" s="516"/>
      <c r="C24" s="513"/>
      <c r="D24" s="454"/>
      <c r="E24" s="221"/>
      <c r="F24" s="264"/>
      <c r="G24" s="216">
        <f>SitSaúde!E69*92%*97.5%*F24</f>
        <v>0</v>
      </c>
      <c r="H24" s="64" t="s">
        <v>219</v>
      </c>
      <c r="I24" s="217">
        <f t="shared" si="1"/>
        <v>0</v>
      </c>
      <c r="J24" s="215" t="s">
        <v>58</v>
      </c>
      <c r="K24" s="102" t="s">
        <v>54</v>
      </c>
    </row>
    <row r="25" spans="2:11" s="75" customFormat="1" ht="35.25" customHeight="1">
      <c r="B25" s="516"/>
      <c r="C25" s="513"/>
      <c r="D25" s="454"/>
      <c r="E25" s="201"/>
      <c r="F25" s="264"/>
      <c r="G25" s="216">
        <f>(SitSaúde!E17*21.72%*SitSaúde!D57+SitSaúde!E17*78.28%*SitSaúde!D63)*97.5%*F25</f>
        <v>0</v>
      </c>
      <c r="H25" s="237" t="s">
        <v>107</v>
      </c>
      <c r="I25" s="217">
        <f t="shared" si="1"/>
        <v>0</v>
      </c>
      <c r="J25" s="215" t="s">
        <v>58</v>
      </c>
      <c r="K25" s="102" t="s">
        <v>54</v>
      </c>
    </row>
    <row r="26" spans="2:11" s="75" customFormat="1" ht="35.25" customHeight="1">
      <c r="B26" s="516"/>
      <c r="C26" s="513"/>
      <c r="D26" s="454"/>
      <c r="E26" s="221"/>
      <c r="F26" s="264"/>
      <c r="G26" s="216">
        <f>(SitSaúde!E63+SitSaúde!E69)*8%*97.5%*F26</f>
        <v>0</v>
      </c>
      <c r="H26" s="237" t="s">
        <v>180</v>
      </c>
      <c r="I26" s="217">
        <f t="shared" si="1"/>
        <v>0</v>
      </c>
      <c r="J26" s="215" t="s">
        <v>58</v>
      </c>
      <c r="K26" s="102" t="s">
        <v>54</v>
      </c>
    </row>
    <row r="27" spans="2:11" s="75" customFormat="1" ht="35.25" customHeight="1">
      <c r="B27" s="420"/>
      <c r="C27" s="514"/>
      <c r="D27" s="525"/>
      <c r="E27" s="221"/>
      <c r="F27" s="344"/>
      <c r="G27" s="224">
        <f>(SitSaúde!E45+SitSaúde!E51+SitSaúde!E57+SitSaúde!E63+SitSaúde!E69)*2.5%*F27</f>
        <v>0</v>
      </c>
      <c r="H27" s="225" t="s">
        <v>139</v>
      </c>
      <c r="I27" s="226">
        <f t="shared" si="1"/>
        <v>0</v>
      </c>
      <c r="J27" s="259" t="s">
        <v>58</v>
      </c>
      <c r="K27" s="36" t="s">
        <v>54</v>
      </c>
    </row>
    <row r="28" spans="2:5" ht="15.75" customHeight="1">
      <c r="B28" s="202"/>
      <c r="C28" s="202"/>
      <c r="E28" s="75"/>
    </row>
  </sheetData>
  <sheetProtection sheet="1" objects="1" scenarios="1"/>
  <mergeCells count="14">
    <mergeCell ref="B3:K3"/>
    <mergeCell ref="B2:K2"/>
    <mergeCell ref="B7:K7"/>
    <mergeCell ref="F4:K4"/>
    <mergeCell ref="G5:H5"/>
    <mergeCell ref="I5:J5"/>
    <mergeCell ref="B4:D4"/>
    <mergeCell ref="D20:D27"/>
    <mergeCell ref="D9:D16"/>
    <mergeCell ref="B20:B27"/>
    <mergeCell ref="C20:C27"/>
    <mergeCell ref="C9:C16"/>
    <mergeCell ref="B18:K18"/>
    <mergeCell ref="B9:B16"/>
  </mergeCells>
  <printOptions/>
  <pageMargins left="0.75" right="0.75" top="1" bottom="1" header="0.492125985" footer="0.492125985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76" customWidth="1"/>
    <col min="2" max="2" width="24.7109375" style="76" customWidth="1"/>
    <col min="3" max="3" width="57.140625" style="76" customWidth="1"/>
    <col min="4" max="4" width="18.00390625" style="76" customWidth="1"/>
    <col min="5" max="5" width="2.7109375" style="76" customWidth="1"/>
    <col min="6" max="6" width="10.7109375" style="76" customWidth="1"/>
    <col min="7" max="7" width="7.7109375" style="76" customWidth="1"/>
    <col min="8" max="8" width="18.00390625" style="76" customWidth="1"/>
    <col min="9" max="9" width="7.7109375" style="76" customWidth="1"/>
    <col min="10" max="10" width="14.140625" style="76" customWidth="1"/>
    <col min="11" max="11" width="11.28125" style="76" customWidth="1"/>
    <col min="12" max="16384" width="9.140625" style="76" customWidth="1"/>
  </cols>
  <sheetData>
    <row r="1" spans="1:11" ht="15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4.5" customHeight="1">
      <c r="A2" s="75"/>
      <c r="B2" s="429" t="s">
        <v>84</v>
      </c>
      <c r="C2" s="523"/>
      <c r="D2" s="523"/>
      <c r="E2" s="523"/>
      <c r="F2" s="523"/>
      <c r="G2" s="523"/>
      <c r="H2" s="523"/>
      <c r="I2" s="523"/>
      <c r="J2" s="523"/>
      <c r="K2" s="524"/>
    </row>
    <row r="3" spans="1:11" ht="15" thickBot="1">
      <c r="A3" s="75"/>
      <c r="B3" s="530"/>
      <c r="C3" s="530"/>
      <c r="D3" s="530"/>
      <c r="E3" s="531"/>
      <c r="F3" s="530"/>
      <c r="G3" s="530"/>
      <c r="H3" s="530"/>
      <c r="I3" s="530"/>
      <c r="J3" s="530"/>
      <c r="K3" s="530"/>
    </row>
    <row r="4" spans="1:11" ht="27.75" customHeight="1">
      <c r="A4" s="204"/>
      <c r="B4" s="526" t="s">
        <v>117</v>
      </c>
      <c r="C4" s="527"/>
      <c r="D4" s="529"/>
      <c r="E4" s="205"/>
      <c r="F4" s="526" t="s">
        <v>124</v>
      </c>
      <c r="G4" s="527"/>
      <c r="H4" s="527"/>
      <c r="I4" s="527"/>
      <c r="J4" s="527"/>
      <c r="K4" s="529"/>
    </row>
    <row r="5" spans="1:12" ht="39.75" customHeight="1">
      <c r="A5" s="75"/>
      <c r="B5" s="206" t="s">
        <v>120</v>
      </c>
      <c r="C5" s="90" t="s">
        <v>212</v>
      </c>
      <c r="D5" s="208" t="s">
        <v>118</v>
      </c>
      <c r="E5" s="205"/>
      <c r="F5" s="210" t="s">
        <v>191</v>
      </c>
      <c r="G5" s="512" t="s">
        <v>350</v>
      </c>
      <c r="H5" s="512"/>
      <c r="I5" s="512" t="s">
        <v>123</v>
      </c>
      <c r="J5" s="512"/>
      <c r="K5" s="207" t="s">
        <v>122</v>
      </c>
      <c r="L5" s="75"/>
    </row>
    <row r="6" spans="2:12" ht="15" customHeight="1" thickBot="1">
      <c r="B6" s="202"/>
      <c r="C6" s="202"/>
      <c r="E6" s="75"/>
      <c r="I6" s="202"/>
      <c r="L6" s="75"/>
    </row>
    <row r="7" spans="2:12" s="75" customFormat="1" ht="30" customHeight="1">
      <c r="B7" s="537" t="s">
        <v>63</v>
      </c>
      <c r="C7" s="538"/>
      <c r="D7" s="538"/>
      <c r="E7" s="538"/>
      <c r="F7" s="538"/>
      <c r="G7" s="538"/>
      <c r="H7" s="538"/>
      <c r="I7" s="538"/>
      <c r="J7" s="538"/>
      <c r="K7" s="539"/>
      <c r="L7" s="270"/>
    </row>
    <row r="8" spans="2:12" ht="15" customHeight="1" thickBot="1">
      <c r="B8" s="75"/>
      <c r="C8" s="75"/>
      <c r="E8" s="75"/>
      <c r="I8" s="75"/>
      <c r="L8" s="75"/>
    </row>
    <row r="9" spans="2:11" s="75" customFormat="1" ht="84.75" customHeight="1">
      <c r="B9" s="516" t="s">
        <v>69</v>
      </c>
      <c r="C9" s="549" t="s">
        <v>410</v>
      </c>
      <c r="D9" s="547" t="s">
        <v>72</v>
      </c>
      <c r="E9" s="152"/>
      <c r="F9" s="263"/>
      <c r="G9" s="96">
        <f>(Cadastro!G8*SitSaúde!D45)*F9</f>
        <v>0</v>
      </c>
      <c r="H9" s="271" t="s">
        <v>147</v>
      </c>
      <c r="I9" s="98">
        <f>G9*4</f>
        <v>0</v>
      </c>
      <c r="J9" s="272" t="s">
        <v>142</v>
      </c>
      <c r="K9" s="82" t="s">
        <v>54</v>
      </c>
    </row>
    <row r="10" spans="2:11" s="75" customFormat="1" ht="84.75" customHeight="1">
      <c r="B10" s="516"/>
      <c r="C10" s="549"/>
      <c r="D10" s="547"/>
      <c r="E10" s="152"/>
      <c r="F10" s="264"/>
      <c r="G10" s="88">
        <f>(SitSaúde!E43*97.5%)*F10</f>
        <v>0</v>
      </c>
      <c r="H10" s="273" t="s">
        <v>163</v>
      </c>
      <c r="I10" s="40">
        <f>G10*1</f>
        <v>0</v>
      </c>
      <c r="J10" s="274" t="s">
        <v>89</v>
      </c>
      <c r="K10" s="82" t="s">
        <v>54</v>
      </c>
    </row>
    <row r="11" spans="2:11" s="75" customFormat="1" ht="84.75" customHeight="1">
      <c r="B11" s="516"/>
      <c r="C11" s="549"/>
      <c r="D11" s="547"/>
      <c r="E11" s="152"/>
      <c r="F11" s="264"/>
      <c r="G11" s="88">
        <f>(SitSaúde!E22*97.5%)*F11</f>
        <v>0</v>
      </c>
      <c r="H11" s="273" t="s">
        <v>143</v>
      </c>
      <c r="I11" s="40">
        <f>G11*4</f>
        <v>0</v>
      </c>
      <c r="J11" s="274" t="s">
        <v>89</v>
      </c>
      <c r="K11" s="82" t="s">
        <v>54</v>
      </c>
    </row>
    <row r="12" spans="2:11" s="75" customFormat="1" ht="84.75" customHeight="1">
      <c r="B12" s="516"/>
      <c r="C12" s="549"/>
      <c r="D12" s="547"/>
      <c r="E12" s="152"/>
      <c r="F12" s="264"/>
      <c r="G12" s="88">
        <f>(SitSaúde!E23*97.5%)*F12</f>
        <v>0</v>
      </c>
      <c r="H12" s="273" t="s">
        <v>144</v>
      </c>
      <c r="I12" s="40">
        <f>G12*4</f>
        <v>0</v>
      </c>
      <c r="J12" s="274" t="s">
        <v>89</v>
      </c>
      <c r="K12" s="82" t="s">
        <v>54</v>
      </c>
    </row>
    <row r="13" spans="2:11" s="75" customFormat="1" ht="84.75" customHeight="1">
      <c r="B13" s="516"/>
      <c r="C13" s="549"/>
      <c r="D13" s="547"/>
      <c r="E13" s="152"/>
      <c r="F13" s="264"/>
      <c r="G13" s="88">
        <f>(SitSaúde!E24*97.5%)*F13</f>
        <v>0</v>
      </c>
      <c r="H13" s="273" t="s">
        <v>62</v>
      </c>
      <c r="I13" s="40">
        <f>G13*4</f>
        <v>0</v>
      </c>
      <c r="J13" s="274" t="s">
        <v>89</v>
      </c>
      <c r="K13" s="82" t="s">
        <v>54</v>
      </c>
    </row>
    <row r="14" spans="2:11" s="75" customFormat="1" ht="99.75" customHeight="1">
      <c r="B14" s="420"/>
      <c r="C14" s="550"/>
      <c r="D14" s="548"/>
      <c r="E14" s="152"/>
      <c r="F14" s="344"/>
      <c r="G14" s="275">
        <f>(SitSaúde!E73*97.5%)*F14</f>
        <v>0</v>
      </c>
      <c r="H14" s="276" t="s">
        <v>146</v>
      </c>
      <c r="I14" s="43">
        <f>G14*4</f>
        <v>0</v>
      </c>
      <c r="J14" s="277" t="s">
        <v>89</v>
      </c>
      <c r="K14" s="36" t="s">
        <v>54</v>
      </c>
    </row>
    <row r="15" spans="2:11" s="75" customFormat="1" ht="15" customHeight="1" thickBot="1">
      <c r="B15" s="278"/>
      <c r="C15" s="278"/>
      <c r="D15" s="134"/>
      <c r="E15" s="152"/>
      <c r="F15" s="279"/>
      <c r="G15" s="176"/>
      <c r="H15" s="280"/>
      <c r="I15" s="176"/>
      <c r="J15" s="281"/>
      <c r="K15" s="57"/>
    </row>
    <row r="16" spans="2:12" s="75" customFormat="1" ht="30" customHeight="1">
      <c r="B16" s="537" t="s">
        <v>70</v>
      </c>
      <c r="C16" s="538"/>
      <c r="D16" s="538"/>
      <c r="E16" s="538"/>
      <c r="F16" s="538"/>
      <c r="G16" s="538"/>
      <c r="H16" s="538"/>
      <c r="I16" s="538"/>
      <c r="J16" s="538"/>
      <c r="K16" s="539"/>
      <c r="L16" s="270"/>
    </row>
    <row r="17" spans="2:11" s="75" customFormat="1" ht="15" customHeight="1" thickBot="1">
      <c r="B17" s="278"/>
      <c r="C17" s="278"/>
      <c r="D17" s="134"/>
      <c r="E17" s="152"/>
      <c r="F17" s="212"/>
      <c r="G17" s="282"/>
      <c r="H17" s="283"/>
      <c r="I17" s="282"/>
      <c r="J17" s="284"/>
      <c r="K17" s="285"/>
    </row>
    <row r="18" spans="2:11" s="75" customFormat="1" ht="54.75" customHeight="1">
      <c r="B18" s="516" t="s">
        <v>69</v>
      </c>
      <c r="C18" s="513" t="s">
        <v>22</v>
      </c>
      <c r="D18" s="454" t="s">
        <v>133</v>
      </c>
      <c r="E18" s="152"/>
      <c r="F18" s="264"/>
      <c r="G18" s="214">
        <f>(SitSaúde!E49*97.5%)*F18</f>
        <v>0</v>
      </c>
      <c r="H18" s="215" t="s">
        <v>164</v>
      </c>
      <c r="I18" s="176">
        <f>G18*1</f>
        <v>0</v>
      </c>
      <c r="J18" s="286" t="s">
        <v>89</v>
      </c>
      <c r="K18" s="82" t="s">
        <v>54</v>
      </c>
    </row>
    <row r="19" spans="2:11" s="75" customFormat="1" ht="39.75" customHeight="1">
      <c r="B19" s="516"/>
      <c r="C19" s="513"/>
      <c r="D19" s="454"/>
      <c r="E19" s="152"/>
      <c r="F19" s="264"/>
      <c r="G19" s="216">
        <f>(SitSaúde!E25*97.5%)*F19</f>
        <v>0</v>
      </c>
      <c r="H19" s="64" t="s">
        <v>148</v>
      </c>
      <c r="I19" s="217">
        <f>G19*4</f>
        <v>0</v>
      </c>
      <c r="J19" s="287" t="s">
        <v>89</v>
      </c>
      <c r="K19" s="82" t="s">
        <v>54</v>
      </c>
    </row>
    <row r="20" spans="2:11" s="75" customFormat="1" ht="39.75" customHeight="1">
      <c r="B20" s="516"/>
      <c r="C20" s="513"/>
      <c r="D20" s="454"/>
      <c r="E20" s="152"/>
      <c r="F20" s="264"/>
      <c r="G20" s="216">
        <f>(SitSaúde!E26*97.5%)*F20</f>
        <v>0</v>
      </c>
      <c r="H20" s="64" t="s">
        <v>149</v>
      </c>
      <c r="I20" s="217">
        <f>G20*4</f>
        <v>0</v>
      </c>
      <c r="J20" s="287" t="s">
        <v>89</v>
      </c>
      <c r="K20" s="82" t="s">
        <v>54</v>
      </c>
    </row>
    <row r="21" spans="2:11" s="75" customFormat="1" ht="39.75" customHeight="1">
      <c r="B21" s="516"/>
      <c r="C21" s="513"/>
      <c r="D21" s="454"/>
      <c r="E21" s="152"/>
      <c r="F21" s="264"/>
      <c r="G21" s="216">
        <f>(SitSaúde!E27*97.5%)*F21</f>
        <v>0</v>
      </c>
      <c r="H21" s="64" t="s">
        <v>245</v>
      </c>
      <c r="I21" s="217">
        <f>G21*4</f>
        <v>0</v>
      </c>
      <c r="J21" s="287" t="s">
        <v>89</v>
      </c>
      <c r="K21" s="82" t="s">
        <v>54</v>
      </c>
    </row>
    <row r="22" spans="2:11" s="75" customFormat="1" ht="54.75" customHeight="1">
      <c r="B22" s="420"/>
      <c r="C22" s="514"/>
      <c r="D22" s="525"/>
      <c r="E22" s="152"/>
      <c r="F22" s="344"/>
      <c r="G22" s="258">
        <f>(SitSaúde!E74*97.5%)*F22</f>
        <v>0</v>
      </c>
      <c r="H22" s="259" t="s">
        <v>150</v>
      </c>
      <c r="I22" s="288">
        <f>G22*4</f>
        <v>0</v>
      </c>
      <c r="J22" s="289" t="s">
        <v>89</v>
      </c>
      <c r="K22" s="36" t="s">
        <v>54</v>
      </c>
    </row>
    <row r="23" spans="2:11" s="75" customFormat="1" ht="15" customHeight="1" thickBot="1">
      <c r="B23" s="278"/>
      <c r="C23" s="278"/>
      <c r="D23" s="278"/>
      <c r="E23" s="152"/>
      <c r="F23" s="57"/>
      <c r="G23" s="176"/>
      <c r="H23" s="280"/>
      <c r="I23" s="176"/>
      <c r="J23" s="290"/>
      <c r="K23" s="57"/>
    </row>
    <row r="24" spans="2:12" s="75" customFormat="1" ht="30" customHeight="1">
      <c r="B24" s="537" t="s">
        <v>71</v>
      </c>
      <c r="C24" s="538"/>
      <c r="D24" s="538"/>
      <c r="E24" s="538"/>
      <c r="F24" s="538"/>
      <c r="G24" s="538"/>
      <c r="H24" s="538"/>
      <c r="I24" s="538"/>
      <c r="J24" s="538"/>
      <c r="K24" s="539"/>
      <c r="L24" s="270"/>
    </row>
    <row r="25" spans="2:11" s="75" customFormat="1" ht="15" customHeight="1" thickBot="1">
      <c r="B25" s="278"/>
      <c r="C25" s="278"/>
      <c r="D25" s="278"/>
      <c r="E25" s="152"/>
      <c r="F25" s="31"/>
      <c r="G25" s="94"/>
      <c r="H25" s="291"/>
      <c r="I25" s="94"/>
      <c r="J25" s="292"/>
      <c r="K25" s="31"/>
    </row>
    <row r="26" spans="2:11" s="75" customFormat="1" ht="53.25" customHeight="1">
      <c r="B26" s="516" t="s">
        <v>69</v>
      </c>
      <c r="C26" s="513" t="s">
        <v>22</v>
      </c>
      <c r="D26" s="454" t="s">
        <v>133</v>
      </c>
      <c r="E26" s="152"/>
      <c r="F26" s="263"/>
      <c r="G26" s="214">
        <f>(SitSaúde!E55*97.5%-G53*21.72%)*F26</f>
        <v>0</v>
      </c>
      <c r="H26" s="215" t="s">
        <v>165</v>
      </c>
      <c r="I26" s="176">
        <f>G26*1</f>
        <v>0</v>
      </c>
      <c r="J26" s="286" t="s">
        <v>89</v>
      </c>
      <c r="K26" s="82" t="s">
        <v>54</v>
      </c>
    </row>
    <row r="27" spans="2:11" s="75" customFormat="1" ht="53.25" customHeight="1">
      <c r="B27" s="516"/>
      <c r="C27" s="513"/>
      <c r="D27" s="454"/>
      <c r="E27" s="152"/>
      <c r="F27" s="264"/>
      <c r="G27" s="216">
        <f>(SitSaúde!E28*97.5%-G54*21.72%)*F27</f>
        <v>0</v>
      </c>
      <c r="H27" s="64" t="s">
        <v>151</v>
      </c>
      <c r="I27" s="217">
        <f>G27*4</f>
        <v>0</v>
      </c>
      <c r="J27" s="287" t="s">
        <v>89</v>
      </c>
      <c r="K27" s="82" t="s">
        <v>54</v>
      </c>
    </row>
    <row r="28" spans="2:11" s="75" customFormat="1" ht="53.25" customHeight="1">
      <c r="B28" s="516"/>
      <c r="C28" s="513"/>
      <c r="D28" s="454"/>
      <c r="E28" s="152"/>
      <c r="F28" s="264"/>
      <c r="G28" s="216">
        <f>(SitSaúde!E29*97.5%-G55*21.72%)*F28</f>
        <v>0</v>
      </c>
      <c r="H28" s="64" t="s">
        <v>152</v>
      </c>
      <c r="I28" s="217">
        <f>G28*4</f>
        <v>0</v>
      </c>
      <c r="J28" s="287" t="s">
        <v>89</v>
      </c>
      <c r="K28" s="82" t="s">
        <v>54</v>
      </c>
    </row>
    <row r="29" spans="2:11" s="75" customFormat="1" ht="53.25" customHeight="1">
      <c r="B29" s="516"/>
      <c r="C29" s="513"/>
      <c r="D29" s="454"/>
      <c r="E29" s="152"/>
      <c r="F29" s="264"/>
      <c r="G29" s="216">
        <f>(SitSaúde!E30*97.5%-G56*21.72%)*F29</f>
        <v>0</v>
      </c>
      <c r="H29" s="64" t="s">
        <v>246</v>
      </c>
      <c r="I29" s="217">
        <f>G29*4</f>
        <v>0</v>
      </c>
      <c r="J29" s="287" t="s">
        <v>89</v>
      </c>
      <c r="K29" s="82" t="s">
        <v>54</v>
      </c>
    </row>
    <row r="30" spans="2:11" s="75" customFormat="1" ht="53.25" customHeight="1">
      <c r="B30" s="516"/>
      <c r="C30" s="513"/>
      <c r="D30" s="454"/>
      <c r="E30" s="152"/>
      <c r="F30" s="264"/>
      <c r="G30" s="216">
        <f>(SitSaúde!E75*97.5%-G57*21.72%)*F30</f>
        <v>0</v>
      </c>
      <c r="H30" s="64" t="s">
        <v>24</v>
      </c>
      <c r="I30" s="217">
        <f>G30*8</f>
        <v>0</v>
      </c>
      <c r="J30" s="287" t="s">
        <v>89</v>
      </c>
      <c r="K30" s="82" t="s">
        <v>54</v>
      </c>
    </row>
    <row r="31" spans="2:11" s="75" customFormat="1" ht="53.25" customHeight="1">
      <c r="B31" s="420"/>
      <c r="C31" s="514"/>
      <c r="D31" s="525"/>
      <c r="E31" s="152"/>
      <c r="F31" s="344"/>
      <c r="G31" s="258">
        <f>(SitSaúde!E76*97.5%-G58*21.72%)*F31</f>
        <v>0</v>
      </c>
      <c r="H31" s="259" t="s">
        <v>23</v>
      </c>
      <c r="I31" s="288">
        <f>G31*4</f>
        <v>0</v>
      </c>
      <c r="J31" s="289" t="s">
        <v>89</v>
      </c>
      <c r="K31" s="82" t="s">
        <v>54</v>
      </c>
    </row>
    <row r="32" spans="2:11" s="75" customFormat="1" ht="15" customHeight="1" thickBot="1">
      <c r="B32" s="278"/>
      <c r="C32" s="278"/>
      <c r="D32" s="31"/>
      <c r="E32" s="152"/>
      <c r="F32" s="279"/>
      <c r="G32" s="232"/>
      <c r="H32" s="234"/>
      <c r="I32" s="232"/>
      <c r="J32" s="293"/>
      <c r="K32" s="253"/>
    </row>
    <row r="33" spans="2:12" s="75" customFormat="1" ht="30" customHeight="1">
      <c r="B33" s="537" t="s">
        <v>64</v>
      </c>
      <c r="C33" s="538"/>
      <c r="D33" s="538"/>
      <c r="E33" s="538"/>
      <c r="F33" s="538"/>
      <c r="G33" s="538"/>
      <c r="H33" s="538"/>
      <c r="I33" s="538"/>
      <c r="J33" s="538"/>
      <c r="K33" s="539"/>
      <c r="L33" s="270"/>
    </row>
    <row r="34" spans="2:11" s="75" customFormat="1" ht="15" customHeight="1" thickBot="1">
      <c r="B34" s="278"/>
      <c r="C34" s="278"/>
      <c r="D34" s="31"/>
      <c r="E34" s="152"/>
      <c r="F34" s="212"/>
      <c r="G34" s="241"/>
      <c r="H34" s="242"/>
      <c r="I34" s="241"/>
      <c r="J34" s="294"/>
      <c r="K34" s="239"/>
    </row>
    <row r="35" spans="2:11" s="75" customFormat="1" ht="53.25" customHeight="1">
      <c r="B35" s="516" t="s">
        <v>69</v>
      </c>
      <c r="C35" s="513" t="s">
        <v>22</v>
      </c>
      <c r="D35" s="454" t="s">
        <v>133</v>
      </c>
      <c r="E35" s="152"/>
      <c r="F35" s="264"/>
      <c r="G35" s="214">
        <f>(SitSaúde!E61*92%*97.5%-G53*78.28%)*F35</f>
        <v>0</v>
      </c>
      <c r="H35" s="215" t="s">
        <v>166</v>
      </c>
      <c r="I35" s="176">
        <f>G35*1</f>
        <v>0</v>
      </c>
      <c r="J35" s="286" t="s">
        <v>89</v>
      </c>
      <c r="K35" s="82" t="s">
        <v>54</v>
      </c>
    </row>
    <row r="36" spans="2:11" s="75" customFormat="1" ht="53.25" customHeight="1">
      <c r="B36" s="516"/>
      <c r="C36" s="513"/>
      <c r="D36" s="454"/>
      <c r="E36" s="152"/>
      <c r="F36" s="264"/>
      <c r="G36" s="216">
        <f>(SitSaúde!E31*92%*97.5%-G54*78.28%)*F36</f>
        <v>0</v>
      </c>
      <c r="H36" s="64" t="s">
        <v>153</v>
      </c>
      <c r="I36" s="217">
        <f>G36*4</f>
        <v>0</v>
      </c>
      <c r="J36" s="287" t="s">
        <v>89</v>
      </c>
      <c r="K36" s="82" t="s">
        <v>54</v>
      </c>
    </row>
    <row r="37" spans="2:11" s="75" customFormat="1" ht="53.25" customHeight="1">
      <c r="B37" s="516"/>
      <c r="C37" s="513"/>
      <c r="D37" s="454"/>
      <c r="E37" s="152"/>
      <c r="F37" s="264"/>
      <c r="G37" s="216">
        <f>(SitSaúde!E32*92%*97.5%-G55*78.28%)*F37</f>
        <v>0</v>
      </c>
      <c r="H37" s="64" t="s">
        <v>154</v>
      </c>
      <c r="I37" s="217">
        <f>G37*4</f>
        <v>0</v>
      </c>
      <c r="J37" s="287" t="s">
        <v>89</v>
      </c>
      <c r="K37" s="82" t="s">
        <v>54</v>
      </c>
    </row>
    <row r="38" spans="2:11" s="75" customFormat="1" ht="53.25" customHeight="1">
      <c r="B38" s="516"/>
      <c r="C38" s="513"/>
      <c r="D38" s="454"/>
      <c r="E38" s="152"/>
      <c r="F38" s="264"/>
      <c r="G38" s="216">
        <f>(SitSaúde!E33*92%*97.5%-G56*78.28%)*F38</f>
        <v>0</v>
      </c>
      <c r="H38" s="64" t="s">
        <v>247</v>
      </c>
      <c r="I38" s="217">
        <f>G38*4</f>
        <v>0</v>
      </c>
      <c r="J38" s="287" t="s">
        <v>89</v>
      </c>
      <c r="K38" s="82" t="s">
        <v>54</v>
      </c>
    </row>
    <row r="39" spans="2:11" s="75" customFormat="1" ht="53.25" customHeight="1">
      <c r="B39" s="516"/>
      <c r="C39" s="513"/>
      <c r="D39" s="454"/>
      <c r="E39" s="152"/>
      <c r="F39" s="264"/>
      <c r="G39" s="216">
        <f>(SitSaúde!E77*92%*97.5%-G57*78.28%)*F39</f>
        <v>0</v>
      </c>
      <c r="H39" s="64" t="s">
        <v>252</v>
      </c>
      <c r="I39" s="217">
        <f>G39*8</f>
        <v>0</v>
      </c>
      <c r="J39" s="287" t="s">
        <v>89</v>
      </c>
      <c r="K39" s="82" t="s">
        <v>54</v>
      </c>
    </row>
    <row r="40" spans="2:11" s="75" customFormat="1" ht="53.25" customHeight="1">
      <c r="B40" s="420"/>
      <c r="C40" s="514"/>
      <c r="D40" s="525"/>
      <c r="E40" s="152"/>
      <c r="F40" s="265"/>
      <c r="G40" s="258">
        <f>(SitSaúde!E78*92%*97.5%-G58*78.28%)*F40</f>
        <v>0</v>
      </c>
      <c r="H40" s="259" t="s">
        <v>253</v>
      </c>
      <c r="I40" s="288">
        <f>G40*4</f>
        <v>0</v>
      </c>
      <c r="J40" s="289" t="s">
        <v>89</v>
      </c>
      <c r="K40" s="82" t="s">
        <v>54</v>
      </c>
    </row>
    <row r="41" spans="2:11" s="75" customFormat="1" ht="15" customHeight="1" thickBot="1">
      <c r="B41" s="278"/>
      <c r="C41" s="278"/>
      <c r="D41" s="134"/>
      <c r="E41" s="152"/>
      <c r="F41" s="212"/>
      <c r="G41" s="232"/>
      <c r="H41" s="234"/>
      <c r="I41" s="232"/>
      <c r="J41" s="293"/>
      <c r="K41" s="253"/>
    </row>
    <row r="42" spans="2:12" s="75" customFormat="1" ht="30" customHeight="1">
      <c r="B42" s="537" t="s">
        <v>65</v>
      </c>
      <c r="C42" s="538"/>
      <c r="D42" s="538"/>
      <c r="E42" s="538"/>
      <c r="F42" s="538"/>
      <c r="G42" s="538"/>
      <c r="H42" s="538"/>
      <c r="I42" s="538"/>
      <c r="J42" s="538"/>
      <c r="K42" s="538"/>
      <c r="L42" s="295"/>
    </row>
    <row r="43" spans="2:11" s="75" customFormat="1" ht="15" customHeight="1" thickBot="1">
      <c r="B43" s="278"/>
      <c r="C43" s="278"/>
      <c r="D43" s="134"/>
      <c r="E43" s="152"/>
      <c r="F43" s="212"/>
      <c r="G43" s="241"/>
      <c r="H43" s="242"/>
      <c r="I43" s="241"/>
      <c r="J43" s="294"/>
      <c r="K43" s="239"/>
    </row>
    <row r="44" spans="2:11" s="75" customFormat="1" ht="53.25" customHeight="1">
      <c r="B44" s="516" t="s">
        <v>69</v>
      </c>
      <c r="C44" s="513" t="s">
        <v>22</v>
      </c>
      <c r="D44" s="454" t="s">
        <v>133</v>
      </c>
      <c r="E44" s="152"/>
      <c r="F44" s="264"/>
      <c r="G44" s="214">
        <f>(SitSaúde!E67*92%*97.5%)*F44</f>
        <v>0</v>
      </c>
      <c r="H44" s="215" t="s">
        <v>167</v>
      </c>
      <c r="I44" s="176">
        <f>G44*1</f>
        <v>0</v>
      </c>
      <c r="J44" s="286" t="s">
        <v>89</v>
      </c>
      <c r="K44" s="82" t="s">
        <v>54</v>
      </c>
    </row>
    <row r="45" spans="2:11" s="75" customFormat="1" ht="53.25" customHeight="1">
      <c r="B45" s="516"/>
      <c r="C45" s="513"/>
      <c r="D45" s="454"/>
      <c r="E45" s="152"/>
      <c r="F45" s="264"/>
      <c r="G45" s="216">
        <f>(SitSaúde!E34*92%*97.5%)*F45</f>
        <v>0</v>
      </c>
      <c r="H45" s="64" t="s">
        <v>155</v>
      </c>
      <c r="I45" s="217">
        <f>G45*4</f>
        <v>0</v>
      </c>
      <c r="J45" s="287" t="s">
        <v>89</v>
      </c>
      <c r="K45" s="82" t="s">
        <v>54</v>
      </c>
    </row>
    <row r="46" spans="2:11" s="75" customFormat="1" ht="53.25" customHeight="1">
      <c r="B46" s="516"/>
      <c r="C46" s="513"/>
      <c r="D46" s="454"/>
      <c r="E46" s="152"/>
      <c r="F46" s="264"/>
      <c r="G46" s="216">
        <f>(SitSaúde!E35*92%*97.5%)*F46</f>
        <v>0</v>
      </c>
      <c r="H46" s="64" t="s">
        <v>156</v>
      </c>
      <c r="I46" s="217">
        <f>G46*4</f>
        <v>0</v>
      </c>
      <c r="J46" s="287" t="s">
        <v>89</v>
      </c>
      <c r="K46" s="82" t="s">
        <v>54</v>
      </c>
    </row>
    <row r="47" spans="2:11" s="75" customFormat="1" ht="53.25" customHeight="1">
      <c r="B47" s="516"/>
      <c r="C47" s="513"/>
      <c r="D47" s="454"/>
      <c r="E47" s="152"/>
      <c r="F47" s="264"/>
      <c r="G47" s="216">
        <f>(SitSaúde!E36*92%*97.5%)*F47</f>
        <v>0</v>
      </c>
      <c r="H47" s="64" t="s">
        <v>248</v>
      </c>
      <c r="I47" s="217">
        <f>G47*4</f>
        <v>0</v>
      </c>
      <c r="J47" s="287" t="s">
        <v>89</v>
      </c>
      <c r="K47" s="82" t="s">
        <v>54</v>
      </c>
    </row>
    <row r="48" spans="2:11" s="75" customFormat="1" ht="53.25" customHeight="1">
      <c r="B48" s="516"/>
      <c r="C48" s="513"/>
      <c r="D48" s="454"/>
      <c r="E48" s="152"/>
      <c r="F48" s="264"/>
      <c r="G48" s="216">
        <f>(SitSaúde!E79*92%*97.5%)*F48</f>
        <v>0</v>
      </c>
      <c r="H48" s="64" t="s">
        <v>254</v>
      </c>
      <c r="I48" s="217">
        <f>G48*8</f>
        <v>0</v>
      </c>
      <c r="J48" s="287" t="s">
        <v>89</v>
      </c>
      <c r="K48" s="82" t="s">
        <v>54</v>
      </c>
    </row>
    <row r="49" spans="2:11" s="75" customFormat="1" ht="53.25" customHeight="1">
      <c r="B49" s="420"/>
      <c r="C49" s="514"/>
      <c r="D49" s="525"/>
      <c r="E49" s="152"/>
      <c r="F49" s="344"/>
      <c r="G49" s="258">
        <f>(SitSaúde!E80*92%*97.5%)*F49</f>
        <v>0</v>
      </c>
      <c r="H49" s="259" t="s">
        <v>255</v>
      </c>
      <c r="I49" s="288">
        <f>G49*4</f>
        <v>0</v>
      </c>
      <c r="J49" s="289" t="s">
        <v>89</v>
      </c>
      <c r="K49" s="82" t="s">
        <v>54</v>
      </c>
    </row>
    <row r="50" spans="2:11" s="75" customFormat="1" ht="15" customHeight="1" thickBot="1">
      <c r="B50" s="278"/>
      <c r="C50" s="278"/>
      <c r="D50" s="134"/>
      <c r="E50" s="152"/>
      <c r="F50" s="279"/>
      <c r="G50" s="232"/>
      <c r="H50" s="234"/>
      <c r="I50" s="232"/>
      <c r="J50" s="293"/>
      <c r="K50" s="253"/>
    </row>
    <row r="51" spans="2:12" s="75" customFormat="1" ht="30" customHeight="1">
      <c r="B51" s="537" t="s">
        <v>66</v>
      </c>
      <c r="C51" s="538"/>
      <c r="D51" s="538"/>
      <c r="E51" s="538"/>
      <c r="F51" s="538"/>
      <c r="G51" s="538"/>
      <c r="H51" s="538"/>
      <c r="I51" s="538"/>
      <c r="J51" s="538"/>
      <c r="K51" s="539"/>
      <c r="L51" s="270"/>
    </row>
    <row r="52" spans="2:11" s="75" customFormat="1" ht="15" customHeight="1" thickBot="1">
      <c r="B52" s="278"/>
      <c r="C52" s="278"/>
      <c r="D52" s="134"/>
      <c r="E52" s="152"/>
      <c r="F52" s="212"/>
      <c r="G52" s="241"/>
      <c r="H52" s="242"/>
      <c r="I52" s="241"/>
      <c r="J52" s="294"/>
      <c r="K52" s="239"/>
    </row>
    <row r="53" spans="2:11" s="75" customFormat="1" ht="53.25" customHeight="1">
      <c r="B53" s="516" t="s">
        <v>69</v>
      </c>
      <c r="C53" s="513" t="s">
        <v>22</v>
      </c>
      <c r="D53" s="454" t="s">
        <v>133</v>
      </c>
      <c r="E53" s="152"/>
      <c r="F53" s="264"/>
      <c r="G53" s="214">
        <f>(SitSaúde!E17*21.72%*SitSaúde!D54+SitSaúde!E17*92%*78.28%*SitSaúde!D60)*97.5%*F53</f>
        <v>0</v>
      </c>
      <c r="H53" s="215" t="s">
        <v>168</v>
      </c>
      <c r="I53" s="176">
        <f>G53*1</f>
        <v>0</v>
      </c>
      <c r="J53" s="286" t="s">
        <v>89</v>
      </c>
      <c r="K53" s="82" t="s">
        <v>54</v>
      </c>
    </row>
    <row r="54" spans="2:11" s="75" customFormat="1" ht="53.25" customHeight="1">
      <c r="B54" s="516"/>
      <c r="C54" s="513"/>
      <c r="D54" s="454"/>
      <c r="E54" s="152"/>
      <c r="F54" s="264"/>
      <c r="G54" s="216">
        <f>(SitSaúde!E17*21.72%*SitSaúde!D28+SitSaúde!E17*92%*78.28%*SitSaúde!D31)*97.5%*F54</f>
        <v>0</v>
      </c>
      <c r="H54" s="64" t="s">
        <v>157</v>
      </c>
      <c r="I54" s="217">
        <f>G54*4</f>
        <v>0</v>
      </c>
      <c r="J54" s="287" t="s">
        <v>89</v>
      </c>
      <c r="K54" s="82" t="s">
        <v>54</v>
      </c>
    </row>
    <row r="55" spans="2:11" s="75" customFormat="1" ht="53.25" customHeight="1">
      <c r="B55" s="516"/>
      <c r="C55" s="513"/>
      <c r="D55" s="454"/>
      <c r="E55" s="152"/>
      <c r="F55" s="264"/>
      <c r="G55" s="216">
        <f>(SitSaúde!E17*21.72%*SitSaúde!D29+SitSaúde!E17*92%*78.28%*SitSaúde!D32)*97.5%*F55</f>
        <v>0</v>
      </c>
      <c r="H55" s="64" t="s">
        <v>158</v>
      </c>
      <c r="I55" s="217">
        <f>G55*4</f>
        <v>0</v>
      </c>
      <c r="J55" s="287" t="s">
        <v>89</v>
      </c>
      <c r="K55" s="82" t="s">
        <v>54</v>
      </c>
    </row>
    <row r="56" spans="2:11" s="75" customFormat="1" ht="53.25" customHeight="1">
      <c r="B56" s="516"/>
      <c r="C56" s="513"/>
      <c r="D56" s="454"/>
      <c r="E56" s="152"/>
      <c r="F56" s="264"/>
      <c r="G56" s="216">
        <f>(SitSaúde!E17*21.72%*SitSaúde!D30+SitSaúde!E17*92%*78.28%*SitSaúde!D33)*97.5%*F56</f>
        <v>0</v>
      </c>
      <c r="H56" s="64" t="s">
        <v>249</v>
      </c>
      <c r="I56" s="217">
        <f>G56*4</f>
        <v>0</v>
      </c>
      <c r="J56" s="287" t="s">
        <v>89</v>
      </c>
      <c r="K56" s="82" t="s">
        <v>54</v>
      </c>
    </row>
    <row r="57" spans="2:11" s="75" customFormat="1" ht="53.25" customHeight="1">
      <c r="B57" s="516"/>
      <c r="C57" s="513"/>
      <c r="D57" s="454"/>
      <c r="E57" s="152"/>
      <c r="F57" s="264"/>
      <c r="G57" s="216">
        <f>(SitSaúde!E17*21.72%*SitSaúde!D75+SitSaúde!E17*92%*78.28%*SitSaúde!D77)*97.5%*F57</f>
        <v>0</v>
      </c>
      <c r="H57" s="64" t="s">
        <v>256</v>
      </c>
      <c r="I57" s="217">
        <f>G57*8</f>
        <v>0</v>
      </c>
      <c r="J57" s="287" t="s">
        <v>89</v>
      </c>
      <c r="K57" s="82" t="s">
        <v>54</v>
      </c>
    </row>
    <row r="58" spans="2:11" s="75" customFormat="1" ht="53.25" customHeight="1">
      <c r="B58" s="420"/>
      <c r="C58" s="514"/>
      <c r="D58" s="525"/>
      <c r="E58" s="152"/>
      <c r="F58" s="265"/>
      <c r="G58" s="258">
        <f>(SitSaúde!E17*21.72%*SitSaúde!D76+SitSaúde!E17*92%*78.28%*SitSaúde!D78)*97.5%*F58</f>
        <v>0</v>
      </c>
      <c r="H58" s="259" t="s">
        <v>257</v>
      </c>
      <c r="I58" s="288">
        <f>G58*4</f>
        <v>0</v>
      </c>
      <c r="J58" s="289" t="s">
        <v>89</v>
      </c>
      <c r="K58" s="82" t="s">
        <v>54</v>
      </c>
    </row>
    <row r="59" spans="2:11" s="75" customFormat="1" ht="15" customHeight="1" thickBot="1">
      <c r="B59" s="278"/>
      <c r="C59" s="278"/>
      <c r="D59" s="134"/>
      <c r="E59" s="152"/>
      <c r="F59" s="212"/>
      <c r="G59" s="232"/>
      <c r="H59" s="234"/>
      <c r="I59" s="232"/>
      <c r="J59" s="293"/>
      <c r="K59" s="253"/>
    </row>
    <row r="60" spans="2:12" s="75" customFormat="1" ht="30" customHeight="1">
      <c r="B60" s="540" t="s">
        <v>67</v>
      </c>
      <c r="C60" s="541"/>
      <c r="D60" s="541"/>
      <c r="E60" s="541"/>
      <c r="F60" s="541"/>
      <c r="G60" s="541"/>
      <c r="H60" s="541"/>
      <c r="I60" s="541"/>
      <c r="J60" s="541"/>
      <c r="K60" s="542"/>
      <c r="L60" s="270"/>
    </row>
    <row r="61" spans="2:11" s="75" customFormat="1" ht="15" customHeight="1" thickBot="1">
      <c r="B61" s="278"/>
      <c r="C61" s="278"/>
      <c r="D61" s="134"/>
      <c r="E61" s="152"/>
      <c r="F61" s="212"/>
      <c r="G61" s="241"/>
      <c r="H61" s="242"/>
      <c r="I61" s="241"/>
      <c r="J61" s="294"/>
      <c r="K61" s="239"/>
    </row>
    <row r="62" spans="2:11" s="75" customFormat="1" ht="53.25" customHeight="1">
      <c r="B62" s="516" t="s">
        <v>69</v>
      </c>
      <c r="C62" s="513" t="s">
        <v>22</v>
      </c>
      <c r="D62" s="454" t="s">
        <v>133</v>
      </c>
      <c r="E62" s="152"/>
      <c r="F62" s="264"/>
      <c r="G62" s="214">
        <f>(((SUM(Cadastro!G$16:G$23)*8%*SitSaúde!D60)+(Cadastro!G$26+Cadastro!G$27+Cadastro!G$28+Cadastro!G$29+Cadastro!G$30)*8%*SitSaúde!D66)*97.5%)*F62</f>
        <v>0</v>
      </c>
      <c r="H62" s="215" t="s">
        <v>169</v>
      </c>
      <c r="I62" s="176">
        <f>G62*1</f>
        <v>0</v>
      </c>
      <c r="J62" s="286" t="s">
        <v>89</v>
      </c>
      <c r="K62" s="82" t="s">
        <v>54</v>
      </c>
    </row>
    <row r="63" spans="2:11" s="75" customFormat="1" ht="53.25" customHeight="1">
      <c r="B63" s="516"/>
      <c r="C63" s="513"/>
      <c r="D63" s="454"/>
      <c r="E63" s="152"/>
      <c r="F63" s="264"/>
      <c r="G63" s="216">
        <f>((SUM(Cadastro!G$16:G$23)*8%*SitSaúde!D31)+(Cadastro!G$26+Cadastro!G$27+Cadastro!G$28+Cadastro!G$29+Cadastro!G$30)*8%*SitSaúde!D34)*97.5%*F63</f>
        <v>0</v>
      </c>
      <c r="H63" s="64" t="s">
        <v>159</v>
      </c>
      <c r="I63" s="217">
        <f>G63*4</f>
        <v>0</v>
      </c>
      <c r="J63" s="287" t="s">
        <v>89</v>
      </c>
      <c r="K63" s="82" t="s">
        <v>54</v>
      </c>
    </row>
    <row r="64" spans="2:11" s="75" customFormat="1" ht="53.25" customHeight="1">
      <c r="B64" s="516"/>
      <c r="C64" s="513"/>
      <c r="D64" s="454"/>
      <c r="E64" s="152"/>
      <c r="F64" s="264"/>
      <c r="G64" s="216">
        <f>(((SUM(Cadastro!G$16:G$23)*8%*SitSaúde!D32)+(Cadastro!G$26+Cadastro!G$27+Cadastro!G$28+Cadastro!G$29+Cadastro!G$30)*8%*SitSaúde!D35)*97.5%)*F64</f>
        <v>0</v>
      </c>
      <c r="H64" s="64" t="s">
        <v>160</v>
      </c>
      <c r="I64" s="217">
        <f>G64*4</f>
        <v>0</v>
      </c>
      <c r="J64" s="287" t="s">
        <v>89</v>
      </c>
      <c r="K64" s="82" t="s">
        <v>54</v>
      </c>
    </row>
    <row r="65" spans="2:11" s="75" customFormat="1" ht="53.25" customHeight="1">
      <c r="B65" s="516"/>
      <c r="C65" s="513"/>
      <c r="D65" s="454"/>
      <c r="E65" s="152"/>
      <c r="F65" s="264"/>
      <c r="G65" s="216">
        <f>(((SUM(Cadastro!G$16:G$23)*8%*SitSaúde!D33)+(Cadastro!G$26+Cadastro!G$27+Cadastro!G$28+Cadastro!G$29+Cadastro!G$30)*8%*SitSaúde!D36)*97.5%)*F65</f>
        <v>0</v>
      </c>
      <c r="H65" s="64" t="s">
        <v>250</v>
      </c>
      <c r="I65" s="217">
        <f>G65*4</f>
        <v>0</v>
      </c>
      <c r="J65" s="287" t="s">
        <v>89</v>
      </c>
      <c r="K65" s="82" t="s">
        <v>54</v>
      </c>
    </row>
    <row r="66" spans="2:11" s="75" customFormat="1" ht="53.25" customHeight="1">
      <c r="B66" s="516"/>
      <c r="C66" s="513"/>
      <c r="D66" s="454"/>
      <c r="E66" s="152"/>
      <c r="F66" s="264"/>
      <c r="G66" s="216">
        <f>(((SUM(Cadastro!G$16:G$23)*8%*SitSaúde!D77)+(Cadastro!G$26+Cadastro!G$27+Cadastro!G$28+Cadastro!G$29+Cadastro!G$30)*8%*SitSaúde!D79)*97.5%)*F66</f>
        <v>0</v>
      </c>
      <c r="H66" s="64" t="s">
        <v>258</v>
      </c>
      <c r="I66" s="217">
        <f>G66*8</f>
        <v>0</v>
      </c>
      <c r="J66" s="287" t="s">
        <v>89</v>
      </c>
      <c r="K66" s="82" t="s">
        <v>54</v>
      </c>
    </row>
    <row r="67" spans="2:11" s="75" customFormat="1" ht="53.25" customHeight="1">
      <c r="B67" s="420"/>
      <c r="C67" s="514"/>
      <c r="D67" s="525"/>
      <c r="E67" s="152"/>
      <c r="F67" s="265"/>
      <c r="G67" s="216">
        <f>(((SUM(Cadastro!G$16:G$23)*8%*SitSaúde!D78)+(Cadastro!G$26+Cadastro!G$27+Cadastro!G$28+Cadastro!G$29+Cadastro!G$30)*8%*SitSaúde!D80)*97.5%)*F67</f>
        <v>0</v>
      </c>
      <c r="H67" s="64" t="s">
        <v>259</v>
      </c>
      <c r="I67" s="217">
        <f>G67*4</f>
        <v>0</v>
      </c>
      <c r="J67" s="287" t="s">
        <v>89</v>
      </c>
      <c r="K67" s="82" t="s">
        <v>54</v>
      </c>
    </row>
    <row r="68" spans="2:11" s="75" customFormat="1" ht="15" customHeight="1" thickBot="1">
      <c r="B68" s="278"/>
      <c r="C68" s="278"/>
      <c r="D68" s="134"/>
      <c r="E68" s="152"/>
      <c r="F68" s="212"/>
      <c r="G68" s="232"/>
      <c r="H68" s="234"/>
      <c r="I68" s="232"/>
      <c r="J68" s="293"/>
      <c r="K68" s="253"/>
    </row>
    <row r="69" spans="2:12" s="75" customFormat="1" ht="30" customHeight="1">
      <c r="B69" s="537" t="s">
        <v>68</v>
      </c>
      <c r="C69" s="538"/>
      <c r="D69" s="538"/>
      <c r="E69" s="538"/>
      <c r="F69" s="538"/>
      <c r="G69" s="538"/>
      <c r="H69" s="538"/>
      <c r="I69" s="538"/>
      <c r="J69" s="538"/>
      <c r="K69" s="538"/>
      <c r="L69" s="295"/>
    </row>
    <row r="70" spans="2:11" s="75" customFormat="1" ht="15" customHeight="1" thickBot="1">
      <c r="B70" s="278"/>
      <c r="C70" s="278"/>
      <c r="D70" s="134"/>
      <c r="E70" s="152"/>
      <c r="F70" s="212"/>
      <c r="G70" s="241"/>
      <c r="H70" s="242"/>
      <c r="I70" s="241"/>
      <c r="J70" s="294"/>
      <c r="K70" s="239"/>
    </row>
    <row r="71" spans="2:11" s="75" customFormat="1" ht="53.25" customHeight="1">
      <c r="B71" s="545" t="s">
        <v>69</v>
      </c>
      <c r="C71" s="543" t="s">
        <v>22</v>
      </c>
      <c r="D71" s="454" t="s">
        <v>133</v>
      </c>
      <c r="E71" s="152"/>
      <c r="F71" s="264"/>
      <c r="G71" s="214">
        <f>((SitSaúde!E43+SitSaúde!E49+SitSaúde!E55+SitSaúde!E61+SitSaúde!E67)*2.5%)*F71</f>
        <v>0</v>
      </c>
      <c r="H71" s="215" t="s">
        <v>170</v>
      </c>
      <c r="I71" s="176">
        <f>G71*1</f>
        <v>0</v>
      </c>
      <c r="J71" s="286" t="s">
        <v>89</v>
      </c>
      <c r="K71" s="82" t="s">
        <v>54</v>
      </c>
    </row>
    <row r="72" spans="2:11" s="75" customFormat="1" ht="53.25" customHeight="1">
      <c r="B72" s="545"/>
      <c r="C72" s="543"/>
      <c r="D72" s="454"/>
      <c r="E72" s="152"/>
      <c r="F72" s="264"/>
      <c r="G72" s="214">
        <f>((SitSaúde!E22+SitSaúde!E25+SitSaúde!E28+SitSaúde!E31+SitSaúde!E34)*2.5%)*F72</f>
        <v>0</v>
      </c>
      <c r="H72" s="215" t="s">
        <v>161</v>
      </c>
      <c r="I72" s="176">
        <f>G72*4</f>
        <v>0</v>
      </c>
      <c r="J72" s="286" t="s">
        <v>89</v>
      </c>
      <c r="K72" s="82" t="s">
        <v>54</v>
      </c>
    </row>
    <row r="73" spans="2:11" s="75" customFormat="1" ht="53.25" customHeight="1">
      <c r="B73" s="545"/>
      <c r="C73" s="543"/>
      <c r="D73" s="454"/>
      <c r="E73" s="152"/>
      <c r="F73" s="264"/>
      <c r="G73" s="216">
        <f>((SitSaúde!E23+SitSaúde!E26+SitSaúde!E29+SitSaúde!E32+SitSaúde!E35)*2.5%)*F73</f>
        <v>0</v>
      </c>
      <c r="H73" s="64" t="s">
        <v>162</v>
      </c>
      <c r="I73" s="217">
        <f>G73*4</f>
        <v>0</v>
      </c>
      <c r="J73" s="287" t="s">
        <v>89</v>
      </c>
      <c r="K73" s="82" t="s">
        <v>54</v>
      </c>
    </row>
    <row r="74" spans="2:11" s="75" customFormat="1" ht="53.25" customHeight="1">
      <c r="B74" s="545"/>
      <c r="C74" s="543"/>
      <c r="D74" s="454"/>
      <c r="E74" s="152"/>
      <c r="F74" s="264"/>
      <c r="G74" s="216">
        <f>((SitSaúde!E24+SitSaúde!E27+SitSaúde!E30+SitSaúde!E33+SitSaúde!E36)*2.5%)*F74</f>
        <v>0</v>
      </c>
      <c r="H74" s="64" t="s">
        <v>251</v>
      </c>
      <c r="I74" s="217">
        <f>G74*4</f>
        <v>0</v>
      </c>
      <c r="J74" s="287" t="s">
        <v>89</v>
      </c>
      <c r="K74" s="82" t="s">
        <v>54</v>
      </c>
    </row>
    <row r="75" spans="2:11" s="75" customFormat="1" ht="53.25" customHeight="1">
      <c r="B75" s="545"/>
      <c r="C75" s="543"/>
      <c r="D75" s="454"/>
      <c r="E75" s="152"/>
      <c r="F75" s="264"/>
      <c r="G75" s="216">
        <f>(SitSaúde!E75+SitSaúde!E77+SitSaúde!E79)*2.5%*F75</f>
        <v>0</v>
      </c>
      <c r="H75" s="64" t="s">
        <v>260</v>
      </c>
      <c r="I75" s="217">
        <f>G75*4</f>
        <v>0</v>
      </c>
      <c r="J75" s="287" t="s">
        <v>89</v>
      </c>
      <c r="K75" s="82" t="s">
        <v>54</v>
      </c>
    </row>
    <row r="76" spans="2:11" s="75" customFormat="1" ht="53.25" customHeight="1">
      <c r="B76" s="546"/>
      <c r="C76" s="544"/>
      <c r="D76" s="525"/>
      <c r="E76" s="152"/>
      <c r="F76" s="265"/>
      <c r="G76" s="258">
        <f>(SitSaúde!E73+SitSaúde!E74+SitSaúde!E76+SitSaúde!E78+SitSaúde!E80)*2.5%*F76</f>
        <v>0</v>
      </c>
      <c r="H76" s="259" t="s">
        <v>261</v>
      </c>
      <c r="I76" s="288">
        <f>G76*4</f>
        <v>0</v>
      </c>
      <c r="J76" s="289" t="s">
        <v>89</v>
      </c>
      <c r="K76" s="36" t="s">
        <v>54</v>
      </c>
    </row>
    <row r="77" ht="14.25">
      <c r="F77" s="202"/>
    </row>
    <row r="79" ht="14.25">
      <c r="I79" s="101"/>
    </row>
    <row r="80" ht="14.25">
      <c r="I80" s="101"/>
    </row>
    <row r="81" ht="14.25">
      <c r="I81" s="101"/>
    </row>
    <row r="82" ht="14.25">
      <c r="I82" s="101"/>
    </row>
    <row r="83" ht="14.25">
      <c r="I83" s="101"/>
    </row>
    <row r="84" ht="14.25">
      <c r="I84" s="101"/>
    </row>
    <row r="85" ht="14.25">
      <c r="I85" s="101"/>
    </row>
    <row r="86" ht="14.25">
      <c r="I86" s="101"/>
    </row>
    <row r="87" ht="14.25">
      <c r="I87" s="101"/>
    </row>
    <row r="88" ht="14.25">
      <c r="I88" s="101"/>
    </row>
    <row r="89" ht="14.25">
      <c r="I89" s="101"/>
    </row>
    <row r="90" ht="14.25">
      <c r="I90" s="101"/>
    </row>
    <row r="91" ht="14.25">
      <c r="I91" s="101"/>
    </row>
    <row r="92" ht="14.25">
      <c r="I92" s="101"/>
    </row>
  </sheetData>
  <sheetProtection sheet="1" objects="1" scenarios="1"/>
  <mergeCells count="38">
    <mergeCell ref="B2:K2"/>
    <mergeCell ref="B3:K3"/>
    <mergeCell ref="B4:D4"/>
    <mergeCell ref="F4:K4"/>
    <mergeCell ref="D26:D31"/>
    <mergeCell ref="B7:K7"/>
    <mergeCell ref="G5:H5"/>
    <mergeCell ref="I5:J5"/>
    <mergeCell ref="D44:D49"/>
    <mergeCell ref="B35:B40"/>
    <mergeCell ref="B44:B49"/>
    <mergeCell ref="D9:D14"/>
    <mergeCell ref="D18:D22"/>
    <mergeCell ref="C18:C22"/>
    <mergeCell ref="B9:B14"/>
    <mergeCell ref="C9:C14"/>
    <mergeCell ref="B18:B22"/>
    <mergeCell ref="C26:C31"/>
    <mergeCell ref="C71:C76"/>
    <mergeCell ref="D71:D76"/>
    <mergeCell ref="D53:D58"/>
    <mergeCell ref="C53:C58"/>
    <mergeCell ref="B69:K69"/>
    <mergeCell ref="B53:B58"/>
    <mergeCell ref="B62:B67"/>
    <mergeCell ref="C62:C67"/>
    <mergeCell ref="B71:B76"/>
    <mergeCell ref="D62:D67"/>
    <mergeCell ref="B51:K51"/>
    <mergeCell ref="B60:K60"/>
    <mergeCell ref="B16:K16"/>
    <mergeCell ref="B24:K24"/>
    <mergeCell ref="B33:K33"/>
    <mergeCell ref="B42:K42"/>
    <mergeCell ref="C35:C40"/>
    <mergeCell ref="D35:D40"/>
    <mergeCell ref="B26:B31"/>
    <mergeCell ref="C44:C49"/>
  </mergeCells>
  <printOptions/>
  <pageMargins left="0.75" right="0.75" top="1" bottom="1" header="0.492125985" footer="0.492125985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67"/>
  <sheetViews>
    <sheetView zoomScale="65" zoomScaleNormal="65" zoomScaleSheetLayoutView="68" workbookViewId="0" topLeftCell="A1">
      <selection activeCell="A1" sqref="A1"/>
    </sheetView>
  </sheetViews>
  <sheetFormatPr defaultColWidth="9.140625" defaultRowHeight="12.75"/>
  <cols>
    <col min="1" max="1" width="2.7109375" style="296" customWidth="1"/>
    <col min="2" max="2" width="22.8515625" style="296" customWidth="1"/>
    <col min="3" max="3" width="15.00390625" style="296" customWidth="1"/>
    <col min="4" max="4" width="18.140625" style="296" customWidth="1"/>
    <col min="5" max="5" width="19.7109375" style="296" customWidth="1"/>
    <col min="6" max="6" width="16.421875" style="296" customWidth="1"/>
    <col min="7" max="7" width="16.57421875" style="296" customWidth="1"/>
    <col min="8" max="8" width="2.7109375" style="296" customWidth="1"/>
    <col min="9" max="9" width="15.421875" style="296" customWidth="1"/>
    <col min="10" max="10" width="14.7109375" style="296" customWidth="1"/>
    <col min="11" max="11" width="8.28125" style="296" customWidth="1"/>
    <col min="12" max="12" width="18.7109375" style="296" customWidth="1"/>
    <col min="13" max="13" width="15.7109375" style="296" customWidth="1"/>
    <col min="14" max="15" width="14.7109375" style="296" customWidth="1"/>
    <col min="16" max="16384" width="9.140625" style="296" customWidth="1"/>
  </cols>
  <sheetData>
    <row r="1" ht="15" customHeight="1" thickBot="1"/>
    <row r="2" spans="2:20" ht="39.75" customHeight="1">
      <c r="B2" s="429" t="s">
        <v>307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5"/>
      <c r="P2" s="297"/>
      <c r="Q2" s="298"/>
      <c r="R2" s="298"/>
      <c r="S2" s="298"/>
      <c r="T2" s="298"/>
    </row>
    <row r="3" spans="2:20" ht="15" customHeight="1" thickBot="1">
      <c r="B3" s="213"/>
      <c r="C3" s="213"/>
      <c r="D3" s="213"/>
      <c r="E3" s="213"/>
      <c r="F3" s="213"/>
      <c r="G3" s="213"/>
      <c r="H3" s="74"/>
      <c r="I3" s="213"/>
      <c r="J3" s="213"/>
      <c r="K3" s="213"/>
      <c r="L3" s="213"/>
      <c r="M3" s="213"/>
      <c r="N3" s="213"/>
      <c r="O3" s="267"/>
      <c r="P3" s="298"/>
      <c r="Q3" s="298"/>
      <c r="R3" s="298"/>
      <c r="S3" s="298"/>
      <c r="T3" s="298"/>
    </row>
    <row r="4" spans="2:16" ht="41.25" customHeight="1">
      <c r="B4" s="559" t="s">
        <v>238</v>
      </c>
      <c r="C4" s="560"/>
      <c r="D4" s="560"/>
      <c r="E4" s="560"/>
      <c r="F4" s="560"/>
      <c r="G4" s="561"/>
      <c r="H4" s="74"/>
      <c r="I4" s="559" t="s">
        <v>27</v>
      </c>
      <c r="J4" s="560"/>
      <c r="K4" s="560"/>
      <c r="L4" s="560"/>
      <c r="M4" s="560"/>
      <c r="N4" s="560"/>
      <c r="O4" s="561"/>
      <c r="P4" s="299"/>
    </row>
    <row r="5" spans="2:16" ht="60" customHeight="1">
      <c r="B5" s="556" t="s">
        <v>125</v>
      </c>
      <c r="C5" s="479"/>
      <c r="D5" s="37" t="s">
        <v>236</v>
      </c>
      <c r="E5" s="37" t="s">
        <v>237</v>
      </c>
      <c r="F5" s="37" t="s">
        <v>220</v>
      </c>
      <c r="G5" s="38" t="s">
        <v>305</v>
      </c>
      <c r="H5" s="209"/>
      <c r="I5" s="556" t="s">
        <v>125</v>
      </c>
      <c r="J5" s="479"/>
      <c r="K5" s="479"/>
      <c r="L5" s="35" t="s">
        <v>130</v>
      </c>
      <c r="M5" s="35" t="s">
        <v>129</v>
      </c>
      <c r="N5" s="35" t="s">
        <v>128</v>
      </c>
      <c r="O5" s="36" t="s">
        <v>127</v>
      </c>
      <c r="P5" s="299"/>
    </row>
    <row r="6" spans="2:15" ht="1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6" ht="29.25" customHeight="1">
      <c r="B7" s="601" t="s">
        <v>171</v>
      </c>
      <c r="C7" s="602"/>
      <c r="D7" s="50"/>
      <c r="E7" s="53" t="e">
        <f>60/D7</f>
        <v>#DIV/0!</v>
      </c>
      <c r="F7" s="47"/>
      <c r="G7" s="323"/>
      <c r="H7" s="300"/>
      <c r="I7" s="610" t="s">
        <v>134</v>
      </c>
      <c r="J7" s="610"/>
      <c r="K7" s="482"/>
      <c r="L7" s="32" t="e">
        <f>F7*E7*G7</f>
        <v>#DIV/0!</v>
      </c>
      <c r="M7" s="33" t="e">
        <f>L7*5</f>
        <v>#DIV/0!</v>
      </c>
      <c r="N7" s="34" t="e">
        <f>M7*4</f>
        <v>#DIV/0!</v>
      </c>
      <c r="O7" s="39" t="e">
        <f>N7*11</f>
        <v>#DIV/0!</v>
      </c>
      <c r="P7" s="299"/>
    </row>
    <row r="8" spans="2:16" ht="31.5" customHeight="1">
      <c r="B8" s="603" t="s">
        <v>172</v>
      </c>
      <c r="C8" s="604"/>
      <c r="D8" s="203"/>
      <c r="E8" s="54" t="e">
        <f>60/D8</f>
        <v>#DIV/0!</v>
      </c>
      <c r="F8" s="324"/>
      <c r="G8" s="325"/>
      <c r="H8" s="300"/>
      <c r="I8" s="505" t="s">
        <v>141</v>
      </c>
      <c r="J8" s="505"/>
      <c r="K8" s="461"/>
      <c r="L8" s="40" t="e">
        <f>F8*E8*G8</f>
        <v>#DIV/0!</v>
      </c>
      <c r="M8" s="40" t="e">
        <f>L8*5</f>
        <v>#DIV/0!</v>
      </c>
      <c r="N8" s="41" t="e">
        <f>M8*4</f>
        <v>#DIV/0!</v>
      </c>
      <c r="O8" s="42" t="e">
        <f>N8*11</f>
        <v>#DIV/0!</v>
      </c>
      <c r="P8" s="299"/>
    </row>
    <row r="9" spans="2:16" ht="33.75" customHeight="1">
      <c r="B9" s="608" t="s">
        <v>173</v>
      </c>
      <c r="C9" s="609"/>
      <c r="D9" s="51"/>
      <c r="E9" s="55" t="e">
        <f>60/D9</f>
        <v>#DIV/0!</v>
      </c>
      <c r="F9" s="48"/>
      <c r="G9" s="326"/>
      <c r="H9" s="300"/>
      <c r="I9" s="613" t="s">
        <v>174</v>
      </c>
      <c r="J9" s="613"/>
      <c r="K9" s="478"/>
      <c r="L9" s="43" t="e">
        <f>F9*E9*G9</f>
        <v>#DIV/0!</v>
      </c>
      <c r="M9" s="43" t="e">
        <f>L9*5</f>
        <v>#DIV/0!</v>
      </c>
      <c r="N9" s="43" t="e">
        <f>M9*4</f>
        <v>#DIV/0!</v>
      </c>
      <c r="O9" s="44" t="e">
        <f>N9*11</f>
        <v>#DIV/0!</v>
      </c>
      <c r="P9" s="299"/>
    </row>
    <row r="10" spans="2:15" ht="15" customHeight="1" thickBot="1">
      <c r="B10" s="30"/>
      <c r="C10" s="30"/>
      <c r="D10" s="279"/>
      <c r="E10" s="31"/>
      <c r="F10" s="31"/>
      <c r="G10" s="31"/>
      <c r="H10" s="301"/>
      <c r="I10" s="151"/>
      <c r="J10" s="151"/>
      <c r="K10" s="151"/>
      <c r="L10" s="31"/>
      <c r="M10" s="31"/>
      <c r="N10" s="31"/>
      <c r="O10" s="181"/>
    </row>
    <row r="11" spans="2:16" ht="30" customHeight="1">
      <c r="B11" s="605" t="s">
        <v>221</v>
      </c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7"/>
      <c r="P11" s="297"/>
    </row>
    <row r="12" spans="2:16" ht="15" customHeight="1" thickBot="1">
      <c r="B12" s="111"/>
      <c r="C12" s="74"/>
      <c r="D12" s="111"/>
      <c r="E12" s="74"/>
      <c r="F12" s="74"/>
      <c r="G12" s="74"/>
      <c r="H12" s="74"/>
      <c r="I12" s="267"/>
      <c r="J12" s="267"/>
      <c r="K12" s="267"/>
      <c r="L12" s="267"/>
      <c r="M12" s="267"/>
      <c r="N12" s="267"/>
      <c r="O12" s="267"/>
      <c r="P12" s="298"/>
    </row>
    <row r="13" spans="2:16" ht="40.5" customHeight="1">
      <c r="B13" s="563" t="s">
        <v>117</v>
      </c>
      <c r="C13" s="564"/>
      <c r="D13" s="45" t="s">
        <v>222</v>
      </c>
      <c r="E13" s="562" t="s">
        <v>132</v>
      </c>
      <c r="F13" s="557"/>
      <c r="G13" s="558"/>
      <c r="H13" s="205"/>
      <c r="I13" s="563" t="s">
        <v>117</v>
      </c>
      <c r="J13" s="557"/>
      <c r="K13" s="564"/>
      <c r="L13" s="302" t="s">
        <v>222</v>
      </c>
      <c r="M13" s="557" t="s">
        <v>132</v>
      </c>
      <c r="N13" s="557"/>
      <c r="O13" s="558"/>
      <c r="P13" s="299"/>
    </row>
    <row r="14" spans="2:15" ht="15" customHeight="1" thickBo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279"/>
      <c r="M14" s="31"/>
      <c r="N14" s="31"/>
      <c r="O14" s="31"/>
    </row>
    <row r="15" spans="2:16" ht="31.5" customHeight="1">
      <c r="B15" s="441" t="s">
        <v>91</v>
      </c>
      <c r="C15" s="600"/>
      <c r="D15" s="50"/>
      <c r="E15" s="303" t="e">
        <f>D15/D7</f>
        <v>#DIV/0!</v>
      </c>
      <c r="F15" s="611" t="s">
        <v>86</v>
      </c>
      <c r="G15" s="612"/>
      <c r="H15" s="30"/>
      <c r="I15" s="441" t="s">
        <v>75</v>
      </c>
      <c r="J15" s="441"/>
      <c r="K15" s="441"/>
      <c r="L15" s="50"/>
      <c r="M15" s="303" t="e">
        <f>L15/D7</f>
        <v>#DIV/0!</v>
      </c>
      <c r="N15" s="611" t="s">
        <v>86</v>
      </c>
      <c r="O15" s="612"/>
      <c r="P15" s="299"/>
    </row>
    <row r="16" spans="2:16" ht="30" customHeight="1">
      <c r="B16" s="428" t="s">
        <v>92</v>
      </c>
      <c r="C16" s="450"/>
      <c r="D16" s="203"/>
      <c r="E16" s="304" t="e">
        <f>D16/D8</f>
        <v>#DIV/0!</v>
      </c>
      <c r="F16" s="594" t="s">
        <v>87</v>
      </c>
      <c r="G16" s="595"/>
      <c r="H16" s="30"/>
      <c r="I16" s="428" t="s">
        <v>76</v>
      </c>
      <c r="J16" s="428"/>
      <c r="K16" s="428"/>
      <c r="L16" s="203"/>
      <c r="M16" s="304" t="e">
        <f>L16/D7</f>
        <v>#DIV/0!</v>
      </c>
      <c r="N16" s="594" t="s">
        <v>86</v>
      </c>
      <c r="O16" s="595"/>
      <c r="P16" s="299"/>
    </row>
    <row r="17" spans="2:16" ht="30" customHeight="1">
      <c r="B17" s="428" t="s">
        <v>80</v>
      </c>
      <c r="C17" s="450"/>
      <c r="D17" s="203"/>
      <c r="E17" s="304" t="e">
        <f>D17/D7</f>
        <v>#DIV/0!</v>
      </c>
      <c r="F17" s="594" t="s">
        <v>86</v>
      </c>
      <c r="G17" s="595"/>
      <c r="H17" s="30"/>
      <c r="I17" s="428" t="s">
        <v>77</v>
      </c>
      <c r="J17" s="428"/>
      <c r="K17" s="428"/>
      <c r="L17" s="203"/>
      <c r="M17" s="304" t="e">
        <f>L17/D7</f>
        <v>#DIV/0!</v>
      </c>
      <c r="N17" s="594" t="s">
        <v>86</v>
      </c>
      <c r="O17" s="595"/>
      <c r="P17" s="299"/>
    </row>
    <row r="18" spans="2:16" ht="30" customHeight="1">
      <c r="B18" s="440" t="s">
        <v>79</v>
      </c>
      <c r="C18" s="436"/>
      <c r="D18" s="51"/>
      <c r="E18" s="305" t="e">
        <f>D18/D8</f>
        <v>#DIV/0!</v>
      </c>
      <c r="F18" s="619" t="s">
        <v>87</v>
      </c>
      <c r="G18" s="620"/>
      <c r="H18" s="30"/>
      <c r="I18" s="614" t="s">
        <v>78</v>
      </c>
      <c r="J18" s="614"/>
      <c r="K18" s="614"/>
      <c r="L18" s="51"/>
      <c r="M18" s="305" t="e">
        <f>L18/D8</f>
        <v>#DIV/0!</v>
      </c>
      <c r="N18" s="596" t="s">
        <v>87</v>
      </c>
      <c r="O18" s="597"/>
      <c r="P18" s="299"/>
    </row>
    <row r="19" spans="2:15" ht="15" customHeight="1" thickBot="1">
      <c r="B19" s="140"/>
      <c r="C19" s="140"/>
      <c r="D19" s="243"/>
      <c r="E19" s="279"/>
      <c r="F19" s="306"/>
      <c r="G19" s="306"/>
      <c r="H19" s="30"/>
      <c r="I19" s="140"/>
      <c r="J19" s="140"/>
      <c r="K19" s="140"/>
      <c r="L19" s="243"/>
      <c r="M19" s="279"/>
      <c r="N19" s="140"/>
      <c r="O19" s="140"/>
    </row>
    <row r="20" spans="2:15" ht="41.25" customHeight="1">
      <c r="B20" s="587" t="s">
        <v>179</v>
      </c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9"/>
    </row>
    <row r="21" spans="2:15" ht="15" customHeight="1" thickBot="1">
      <c r="B21" s="111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2:15" ht="30" customHeight="1">
      <c r="B22" s="577"/>
      <c r="C22" s="616" t="s">
        <v>223</v>
      </c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8"/>
    </row>
    <row r="23" spans="2:15" ht="78" customHeight="1">
      <c r="B23" s="577"/>
      <c r="C23" s="307" t="s">
        <v>94</v>
      </c>
      <c r="D23" s="37" t="s">
        <v>32</v>
      </c>
      <c r="E23" s="37" t="s">
        <v>96</v>
      </c>
      <c r="F23" s="37" t="s">
        <v>73</v>
      </c>
      <c r="G23" s="37" t="s">
        <v>74</v>
      </c>
      <c r="H23" s="615" t="s">
        <v>306</v>
      </c>
      <c r="I23" s="615"/>
      <c r="J23" s="615" t="s">
        <v>97</v>
      </c>
      <c r="K23" s="615"/>
      <c r="L23" s="37" t="s">
        <v>98</v>
      </c>
      <c r="M23" s="37" t="s">
        <v>95</v>
      </c>
      <c r="N23" s="37" t="s">
        <v>31</v>
      </c>
      <c r="O23" s="38" t="s">
        <v>224</v>
      </c>
    </row>
    <row r="24" spans="2:15" ht="15" customHeight="1">
      <c r="B24" s="308"/>
      <c r="C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5" ht="30" customHeight="1">
      <c r="B25" s="309" t="s">
        <v>100</v>
      </c>
      <c r="C25" s="98"/>
      <c r="D25" s="32"/>
      <c r="E25" s="98"/>
      <c r="F25" s="98"/>
      <c r="G25" s="310"/>
      <c r="H25" s="475"/>
      <c r="I25" s="475"/>
      <c r="J25" s="565"/>
      <c r="K25" s="565"/>
      <c r="L25" s="98"/>
      <c r="M25" s="98">
        <f>Tratamento!I9</f>
        <v>0</v>
      </c>
      <c r="N25" s="98"/>
      <c r="O25" s="115">
        <f>SUM(C25:N25)</f>
        <v>0</v>
      </c>
    </row>
    <row r="26" spans="2:15" ht="30" customHeight="1">
      <c r="B26" s="311" t="s">
        <v>101</v>
      </c>
      <c r="C26" s="40">
        <f>'Av.Risco e 1a Cons'!I9</f>
        <v>0</v>
      </c>
      <c r="D26" s="40">
        <f>'Av.Risco e 1a Cons'!I20</f>
        <v>0</v>
      </c>
      <c r="E26" s="40">
        <f>Tratamento!I10</f>
        <v>0</v>
      </c>
      <c r="F26" s="40"/>
      <c r="G26" s="66">
        <f>Tratamento!I14</f>
        <v>0</v>
      </c>
      <c r="H26" s="473">
        <f>Tratamento!I13</f>
        <v>0</v>
      </c>
      <c r="I26" s="473"/>
      <c r="J26" s="473">
        <f>Tratamento!I12</f>
        <v>0</v>
      </c>
      <c r="K26" s="473"/>
      <c r="L26" s="40">
        <f>Tratamento!I11</f>
        <v>0</v>
      </c>
      <c r="M26" s="40"/>
      <c r="N26" s="40">
        <f>AçõesColetivas!J9+AçõesColetivas!J21</f>
        <v>0</v>
      </c>
      <c r="O26" s="118">
        <f aca="true" t="shared" si="0" ref="O26:O36">SUM(C26:N26)</f>
        <v>0</v>
      </c>
    </row>
    <row r="27" spans="2:15" ht="30" customHeight="1">
      <c r="B27" s="311" t="s">
        <v>99</v>
      </c>
      <c r="C27" s="40">
        <f>'Av.Risco e 1a Cons'!I10</f>
        <v>0</v>
      </c>
      <c r="D27" s="40">
        <f>'Av.Risco e 1a Cons'!I21</f>
        <v>0</v>
      </c>
      <c r="E27" s="40">
        <f>Tratamento!I18</f>
        <v>0</v>
      </c>
      <c r="F27" s="40"/>
      <c r="G27" s="66">
        <f>Tratamento!I22</f>
        <v>0</v>
      </c>
      <c r="H27" s="473">
        <f>Tratamento!I21</f>
        <v>0</v>
      </c>
      <c r="I27" s="473"/>
      <c r="J27" s="473">
        <f>Tratamento!I20</f>
        <v>0</v>
      </c>
      <c r="K27" s="473"/>
      <c r="L27" s="40">
        <f>Tratamento!I19</f>
        <v>0</v>
      </c>
      <c r="M27" s="116"/>
      <c r="N27" s="40">
        <f>AçõesColetivas!J10+AçõesColetivas!J22</f>
        <v>0</v>
      </c>
      <c r="O27" s="118">
        <f t="shared" si="0"/>
        <v>0</v>
      </c>
    </row>
    <row r="28" spans="2:16" ht="30" customHeight="1">
      <c r="B28" s="311" t="s">
        <v>102</v>
      </c>
      <c r="C28" s="40">
        <f>'Av.Risco e 1a Cons'!I11</f>
        <v>0</v>
      </c>
      <c r="D28" s="40">
        <f>'Av.Risco e 1a Cons'!I22</f>
        <v>0</v>
      </c>
      <c r="E28" s="40">
        <f>Tratamento!I26</f>
        <v>0</v>
      </c>
      <c r="F28" s="40">
        <f>Tratamento!I30</f>
        <v>0</v>
      </c>
      <c r="G28" s="66">
        <f>Tratamento!I31</f>
        <v>0</v>
      </c>
      <c r="H28" s="473">
        <f>Tratamento!I29</f>
        <v>0</v>
      </c>
      <c r="I28" s="473"/>
      <c r="J28" s="473">
        <f>Tratamento!I28</f>
        <v>0</v>
      </c>
      <c r="K28" s="473"/>
      <c r="L28" s="40">
        <f>Tratamento!I27</f>
        <v>0</v>
      </c>
      <c r="M28" s="116"/>
      <c r="N28" s="40">
        <f>AçõesColetivas!J11</f>
        <v>0</v>
      </c>
      <c r="O28" s="118">
        <f t="shared" si="0"/>
        <v>0</v>
      </c>
      <c r="P28" s="299"/>
    </row>
    <row r="29" spans="2:15" ht="30" customHeight="1">
      <c r="B29" s="311" t="s">
        <v>103</v>
      </c>
      <c r="C29" s="40">
        <f>'Av.Risco e 1a Cons'!I12</f>
        <v>0</v>
      </c>
      <c r="D29" s="40">
        <f>'Av.Risco e 1a Cons'!I23</f>
        <v>0</v>
      </c>
      <c r="E29" s="40">
        <f>Tratamento!I35</f>
        <v>0</v>
      </c>
      <c r="F29" s="40">
        <f>Tratamento!I39</f>
        <v>0</v>
      </c>
      <c r="G29" s="66">
        <f>Tratamento!I40</f>
        <v>0</v>
      </c>
      <c r="H29" s="473">
        <f>Tratamento!I38</f>
        <v>0</v>
      </c>
      <c r="I29" s="473"/>
      <c r="J29" s="473">
        <f>Tratamento!I37</f>
        <v>0</v>
      </c>
      <c r="K29" s="473"/>
      <c r="L29" s="40">
        <f>Tratamento!I36</f>
        <v>0</v>
      </c>
      <c r="M29" s="116"/>
      <c r="N29" s="40">
        <f>AçõesColetivas!J12+AçõesColetivas!J23</f>
        <v>0</v>
      </c>
      <c r="O29" s="118">
        <f t="shared" si="0"/>
        <v>0</v>
      </c>
    </row>
    <row r="30" spans="2:15" ht="30" customHeight="1">
      <c r="B30" s="311" t="s">
        <v>131</v>
      </c>
      <c r="C30" s="40">
        <f>'Av.Risco e 1a Cons'!I13</f>
        <v>0</v>
      </c>
      <c r="D30" s="40">
        <f>'Av.Risco e 1a Cons'!I24</f>
        <v>0</v>
      </c>
      <c r="E30" s="40">
        <f>Tratamento!I44</f>
        <v>0</v>
      </c>
      <c r="F30" s="40">
        <f>Tratamento!I48</f>
        <v>0</v>
      </c>
      <c r="G30" s="66">
        <f>Tratamento!I49</f>
        <v>0</v>
      </c>
      <c r="H30" s="473">
        <f>Tratamento!I47</f>
        <v>0</v>
      </c>
      <c r="I30" s="473"/>
      <c r="J30" s="473">
        <f>Tratamento!I46</f>
        <v>0</v>
      </c>
      <c r="K30" s="473"/>
      <c r="L30" s="40">
        <f>Tratamento!I45</f>
        <v>0</v>
      </c>
      <c r="M30" s="40"/>
      <c r="N30" s="40">
        <f>AçõesColetivas!J13+AçõesColetivas!J25</f>
        <v>0</v>
      </c>
      <c r="O30" s="118">
        <f t="shared" si="0"/>
        <v>0</v>
      </c>
    </row>
    <row r="31" spans="2:16" ht="30" customHeight="1">
      <c r="B31" s="311" t="s">
        <v>104</v>
      </c>
      <c r="C31" s="40">
        <f>'Av.Risco e 1a Cons'!I14</f>
        <v>0</v>
      </c>
      <c r="D31" s="40">
        <f>'Av.Risco e 1a Cons'!I25</f>
        <v>0</v>
      </c>
      <c r="E31" s="40">
        <f>Tratamento!I53</f>
        <v>0</v>
      </c>
      <c r="F31" s="40">
        <f>Tratamento!I57</f>
        <v>0</v>
      </c>
      <c r="G31" s="66">
        <f>Tratamento!I58</f>
        <v>0</v>
      </c>
      <c r="H31" s="473">
        <f>Tratamento!I56</f>
        <v>0</v>
      </c>
      <c r="I31" s="473"/>
      <c r="J31" s="473">
        <f>Tratamento!I55</f>
        <v>0</v>
      </c>
      <c r="K31" s="473"/>
      <c r="L31" s="40">
        <f>Tratamento!I54</f>
        <v>0</v>
      </c>
      <c r="M31" s="116"/>
      <c r="N31" s="40">
        <f>AçõesColetivas!J14+AçõesColetivas!J24</f>
        <v>0</v>
      </c>
      <c r="O31" s="118">
        <f t="shared" si="0"/>
        <v>0</v>
      </c>
      <c r="P31" s="299"/>
    </row>
    <row r="32" spans="2:15" ht="30" customHeight="1">
      <c r="B32" s="311" t="s">
        <v>105</v>
      </c>
      <c r="C32" s="40">
        <f>'Av.Risco e 1a Cons'!I15</f>
        <v>0</v>
      </c>
      <c r="D32" s="40">
        <f>'Av.Risco e 1a Cons'!I26</f>
        <v>0</v>
      </c>
      <c r="E32" s="40">
        <f>Tratamento!I62</f>
        <v>0</v>
      </c>
      <c r="F32" s="40">
        <f>Tratamento!I66</f>
        <v>0</v>
      </c>
      <c r="G32" s="66">
        <f>Tratamento!I67</f>
        <v>0</v>
      </c>
      <c r="H32" s="473">
        <f>Tratamento!I65</f>
        <v>0</v>
      </c>
      <c r="I32" s="473"/>
      <c r="J32" s="473">
        <f>Tratamento!I64</f>
        <v>0</v>
      </c>
      <c r="K32" s="473"/>
      <c r="L32" s="40">
        <f>Tratamento!I63</f>
        <v>0</v>
      </c>
      <c r="M32" s="116"/>
      <c r="N32" s="40">
        <f>AçõesColetivas!J15</f>
        <v>0</v>
      </c>
      <c r="O32" s="118">
        <f t="shared" si="0"/>
        <v>0</v>
      </c>
    </row>
    <row r="33" spans="2:15" ht="44.25" customHeight="1">
      <c r="B33" s="311" t="s">
        <v>106</v>
      </c>
      <c r="C33" s="40">
        <f>'Av.Risco e 1a Cons'!I16</f>
        <v>0</v>
      </c>
      <c r="D33" s="40">
        <f>'Av.Risco e 1a Cons'!I27</f>
        <v>0</v>
      </c>
      <c r="E33" s="40">
        <f>Tratamento!I71</f>
        <v>0</v>
      </c>
      <c r="F33" s="40">
        <f>Tratamento!I75</f>
        <v>0</v>
      </c>
      <c r="G33" s="66">
        <f>Tratamento!I76</f>
        <v>0</v>
      </c>
      <c r="H33" s="473">
        <f>Tratamento!I74</f>
        <v>0</v>
      </c>
      <c r="I33" s="473"/>
      <c r="J33" s="473">
        <f>Tratamento!I73</f>
        <v>0</v>
      </c>
      <c r="K33" s="473"/>
      <c r="L33" s="40">
        <f>Tratamento!I72</f>
        <v>0</v>
      </c>
      <c r="M33" s="116"/>
      <c r="N33" s="40">
        <f>AçõesColetivas!J16</f>
        <v>0</v>
      </c>
      <c r="O33" s="118">
        <f t="shared" si="0"/>
        <v>0</v>
      </c>
    </row>
    <row r="34" spans="2:15" ht="44.25" customHeight="1">
      <c r="B34" s="311" t="s">
        <v>234</v>
      </c>
      <c r="C34" s="40"/>
      <c r="D34" s="116"/>
      <c r="E34" s="40"/>
      <c r="F34" s="40"/>
      <c r="G34" s="66"/>
      <c r="H34" s="473"/>
      <c r="I34" s="473"/>
      <c r="J34" s="473"/>
      <c r="K34" s="473"/>
      <c r="L34" s="40"/>
      <c r="M34" s="116"/>
      <c r="N34" s="40">
        <f>AçõesColetivas!J17</f>
        <v>0</v>
      </c>
      <c r="O34" s="118">
        <f t="shared" si="0"/>
        <v>0</v>
      </c>
    </row>
    <row r="35" spans="2:16" ht="38.25" customHeight="1">
      <c r="B35" s="312" t="s">
        <v>175</v>
      </c>
      <c r="C35" s="40">
        <f aca="true" t="shared" si="1" ref="C35:H35">SUM(C25:C34)</f>
        <v>0</v>
      </c>
      <c r="D35" s="40">
        <f t="shared" si="1"/>
        <v>0</v>
      </c>
      <c r="E35" s="40">
        <f t="shared" si="1"/>
        <v>0</v>
      </c>
      <c r="F35" s="40">
        <f t="shared" si="1"/>
        <v>0</v>
      </c>
      <c r="G35" s="66">
        <f t="shared" si="1"/>
        <v>0</v>
      </c>
      <c r="H35" s="409">
        <f t="shared" si="1"/>
        <v>0</v>
      </c>
      <c r="I35" s="574"/>
      <c r="J35" s="473">
        <f>SUM(J25:J34)</f>
        <v>0</v>
      </c>
      <c r="K35" s="473"/>
      <c r="L35" s="40">
        <f>SUM(L25:L34)</f>
        <v>0</v>
      </c>
      <c r="M35" s="40">
        <f>SUM(M25:M34)</f>
        <v>0</v>
      </c>
      <c r="N35" s="40">
        <f>SUM(N25:N34)</f>
        <v>0</v>
      </c>
      <c r="O35" s="118">
        <f t="shared" si="0"/>
        <v>0</v>
      </c>
      <c r="P35" s="296">
        <f>884+66+231</f>
        <v>1181</v>
      </c>
    </row>
    <row r="36" spans="2:15" ht="43.5" customHeight="1">
      <c r="B36" s="313" t="s">
        <v>88</v>
      </c>
      <c r="C36" s="43" t="e">
        <f>C35*M15</f>
        <v>#DIV/0!</v>
      </c>
      <c r="D36" s="43" t="e">
        <f>D35*M16</f>
        <v>#DIV/0!</v>
      </c>
      <c r="E36" s="43" t="e">
        <f>E35*M17</f>
        <v>#DIV/0!</v>
      </c>
      <c r="F36" s="43" t="e">
        <f>F35*M17</f>
        <v>#DIV/0!</v>
      </c>
      <c r="G36" s="260" t="e">
        <f>G35*M17</f>
        <v>#DIV/0!</v>
      </c>
      <c r="H36" s="583" t="e">
        <f>H35*M17</f>
        <v>#DIV/0!</v>
      </c>
      <c r="I36" s="583"/>
      <c r="J36" s="583" t="e">
        <f>J35*M18</f>
        <v>#DIV/0!</v>
      </c>
      <c r="K36" s="583"/>
      <c r="L36" s="43" t="e">
        <f>L35*M18</f>
        <v>#DIV/0!</v>
      </c>
      <c r="M36" s="43" t="e">
        <f>M35*M18</f>
        <v>#DIV/0!</v>
      </c>
      <c r="N36" s="43" t="e">
        <f>N35*E18</f>
        <v>#DIV/0!</v>
      </c>
      <c r="O36" s="44" t="e">
        <f t="shared" si="0"/>
        <v>#DIV/0!</v>
      </c>
    </row>
    <row r="37" spans="2:15" ht="15" customHeight="1" thickBot="1">
      <c r="B37" s="23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2:15" ht="30" customHeight="1">
      <c r="B38" s="314" t="s">
        <v>88</v>
      </c>
      <c r="C38" s="578" t="s">
        <v>134</v>
      </c>
      <c r="D38" s="578"/>
      <c r="E38" s="578"/>
      <c r="F38" s="578"/>
      <c r="G38" s="578"/>
      <c r="H38" s="578"/>
      <c r="I38" s="578"/>
      <c r="J38" s="598" t="s">
        <v>141</v>
      </c>
      <c r="K38" s="578"/>
      <c r="L38" s="578"/>
      <c r="M38" s="578"/>
      <c r="N38" s="599"/>
      <c r="O38" s="315" t="s">
        <v>211</v>
      </c>
    </row>
    <row r="39" spans="2:15" ht="30" customHeight="1">
      <c r="B39" s="316" t="s">
        <v>127</v>
      </c>
      <c r="C39" s="569" t="e">
        <f>SUM(C36:H36)</f>
        <v>#DIV/0!</v>
      </c>
      <c r="D39" s="569"/>
      <c r="E39" s="569"/>
      <c r="F39" s="569"/>
      <c r="G39" s="569"/>
      <c r="H39" s="569"/>
      <c r="I39" s="570"/>
      <c r="J39" s="569" t="e">
        <f>SUM(J36:N36)</f>
        <v>#DIV/0!</v>
      </c>
      <c r="K39" s="569"/>
      <c r="L39" s="569"/>
      <c r="M39" s="569"/>
      <c r="N39" s="569"/>
      <c r="O39" s="317" t="e">
        <f>SUM(C39:N39)</f>
        <v>#DIV/0!</v>
      </c>
    </row>
    <row r="40" spans="2:15" ht="30" customHeight="1">
      <c r="B40" s="59" t="s">
        <v>128</v>
      </c>
      <c r="C40" s="571" t="e">
        <f>C39/11</f>
        <v>#DIV/0!</v>
      </c>
      <c r="D40" s="571"/>
      <c r="E40" s="571"/>
      <c r="F40" s="571"/>
      <c r="G40" s="571"/>
      <c r="H40" s="571"/>
      <c r="I40" s="572"/>
      <c r="J40" s="409" t="e">
        <f>J39/11</f>
        <v>#DIV/0!</v>
      </c>
      <c r="K40" s="573"/>
      <c r="L40" s="573"/>
      <c r="M40" s="573"/>
      <c r="N40" s="574"/>
      <c r="O40" s="42" t="e">
        <f>SUM(C40:N40)</f>
        <v>#DIV/0!</v>
      </c>
    </row>
    <row r="41" spans="2:15" ht="30" customHeight="1">
      <c r="B41" s="59" t="s">
        <v>129</v>
      </c>
      <c r="C41" s="573" t="e">
        <f>C40/4</f>
        <v>#DIV/0!</v>
      </c>
      <c r="D41" s="573"/>
      <c r="E41" s="573"/>
      <c r="F41" s="573"/>
      <c r="G41" s="573"/>
      <c r="H41" s="573"/>
      <c r="I41" s="574"/>
      <c r="J41" s="409" t="e">
        <f>J40/4</f>
        <v>#DIV/0!</v>
      </c>
      <c r="K41" s="573"/>
      <c r="L41" s="573"/>
      <c r="M41" s="573"/>
      <c r="N41" s="574"/>
      <c r="O41" s="42" t="e">
        <f>SUM(C41:N41)</f>
        <v>#DIV/0!</v>
      </c>
    </row>
    <row r="42" spans="2:15" ht="30" customHeight="1">
      <c r="B42" s="318" t="s">
        <v>130</v>
      </c>
      <c r="C42" s="575" t="e">
        <f>C41/5</f>
        <v>#DIV/0!</v>
      </c>
      <c r="D42" s="575"/>
      <c r="E42" s="575"/>
      <c r="F42" s="575"/>
      <c r="G42" s="575"/>
      <c r="H42" s="575"/>
      <c r="I42" s="576"/>
      <c r="J42" s="621" t="e">
        <f>J41/5</f>
        <v>#DIV/0!</v>
      </c>
      <c r="K42" s="622"/>
      <c r="L42" s="622"/>
      <c r="M42" s="622"/>
      <c r="N42" s="593"/>
      <c r="O42" s="44" t="e">
        <f>SUM(C42:N42)</f>
        <v>#DIV/0!</v>
      </c>
    </row>
    <row r="43" spans="2:15" ht="15" customHeight="1" thickBot="1">
      <c r="B43" s="253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</row>
    <row r="44" spans="2:15" ht="30" customHeight="1">
      <c r="B44" s="587" t="s">
        <v>184</v>
      </c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9"/>
    </row>
    <row r="45" spans="2:15" ht="15" customHeigh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 ht="25.5" customHeight="1">
      <c r="B46" s="566" t="s">
        <v>185</v>
      </c>
      <c r="C46" s="567"/>
      <c r="D46" s="567"/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8"/>
    </row>
    <row r="47" spans="2:15" ht="30" customHeight="1">
      <c r="B47" s="579"/>
      <c r="C47" s="580"/>
      <c r="D47" s="462" t="s">
        <v>187</v>
      </c>
      <c r="E47" s="462"/>
      <c r="F47" s="462"/>
      <c r="G47" s="462"/>
      <c r="H47" s="462" t="s">
        <v>188</v>
      </c>
      <c r="I47" s="462"/>
      <c r="J47" s="462"/>
      <c r="K47" s="462"/>
      <c r="L47" s="462"/>
      <c r="M47" s="462" t="s">
        <v>189</v>
      </c>
      <c r="N47" s="462"/>
      <c r="O47" s="487"/>
    </row>
    <row r="48" spans="2:15" ht="38.25" customHeight="1">
      <c r="B48" s="581"/>
      <c r="C48" s="582"/>
      <c r="D48" s="479" t="s">
        <v>25</v>
      </c>
      <c r="E48" s="479"/>
      <c r="F48" s="479" t="s">
        <v>176</v>
      </c>
      <c r="G48" s="479"/>
      <c r="H48" s="479" t="s">
        <v>25</v>
      </c>
      <c r="I48" s="479"/>
      <c r="J48" s="479"/>
      <c r="K48" s="479" t="s">
        <v>176</v>
      </c>
      <c r="L48" s="479"/>
      <c r="M48" s="479" t="s">
        <v>25</v>
      </c>
      <c r="N48" s="479"/>
      <c r="O48" s="36" t="s">
        <v>176</v>
      </c>
    </row>
    <row r="49" spans="2:15" ht="15" customHeight="1">
      <c r="B49" s="308"/>
      <c r="C49" s="308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30" customHeight="1">
      <c r="B50" s="482" t="s">
        <v>134</v>
      </c>
      <c r="C50" s="565"/>
      <c r="D50" s="565" t="e">
        <f>L7</f>
        <v>#DIV/0!</v>
      </c>
      <c r="E50" s="565"/>
      <c r="F50" s="565">
        <f>F7</f>
        <v>0</v>
      </c>
      <c r="G50" s="565"/>
      <c r="H50" s="475" t="e">
        <f>C42</f>
        <v>#DIV/0!</v>
      </c>
      <c r="I50" s="475"/>
      <c r="J50" s="475"/>
      <c r="K50" s="475" t="e">
        <f>H50/E7</f>
        <v>#DIV/0!</v>
      </c>
      <c r="L50" s="475"/>
      <c r="M50" s="475" t="e">
        <f>D50-H50</f>
        <v>#DIV/0!</v>
      </c>
      <c r="N50" s="565"/>
      <c r="O50" s="115" t="e">
        <f>M50/E7</f>
        <v>#DIV/0!</v>
      </c>
    </row>
    <row r="51" spans="2:15" ht="30" customHeight="1">
      <c r="B51" s="461" t="s">
        <v>141</v>
      </c>
      <c r="C51" s="462"/>
      <c r="D51" s="462" t="e">
        <f>L8</f>
        <v>#DIV/0!</v>
      </c>
      <c r="E51" s="462"/>
      <c r="F51" s="462">
        <f>F8</f>
        <v>0</v>
      </c>
      <c r="G51" s="462"/>
      <c r="H51" s="473" t="e">
        <f>J42</f>
        <v>#DIV/0!</v>
      </c>
      <c r="I51" s="473"/>
      <c r="J51" s="473"/>
      <c r="K51" s="473" t="e">
        <f>H51/E8</f>
        <v>#DIV/0!</v>
      </c>
      <c r="L51" s="473"/>
      <c r="M51" s="473" t="e">
        <f>D51-H51</f>
        <v>#DIV/0!</v>
      </c>
      <c r="N51" s="462"/>
      <c r="O51" s="118" t="e">
        <f>M51/E8</f>
        <v>#DIV/0!</v>
      </c>
    </row>
    <row r="52" spans="2:15" ht="30" customHeight="1">
      <c r="B52" s="478" t="s">
        <v>174</v>
      </c>
      <c r="C52" s="479"/>
      <c r="D52" s="583" t="e">
        <f>L9</f>
        <v>#DIV/0!</v>
      </c>
      <c r="E52" s="583"/>
      <c r="F52" s="479">
        <f>F9</f>
        <v>0</v>
      </c>
      <c r="G52" s="479"/>
      <c r="H52" s="583">
        <f>M42</f>
        <v>0</v>
      </c>
      <c r="I52" s="583"/>
      <c r="J52" s="583"/>
      <c r="K52" s="583" t="e">
        <f>H52/E9</f>
        <v>#DIV/0!</v>
      </c>
      <c r="L52" s="583"/>
      <c r="M52" s="583" t="e">
        <f>D52-H52</f>
        <v>#DIV/0!</v>
      </c>
      <c r="N52" s="479"/>
      <c r="O52" s="44" t="e">
        <f>M52/E9</f>
        <v>#DIV/0!</v>
      </c>
    </row>
    <row r="53" spans="2:15" ht="15" customHeight="1" thickBot="1">
      <c r="B53" s="279"/>
      <c r="C53" s="279"/>
      <c r="D53" s="279"/>
      <c r="E53" s="279"/>
      <c r="F53" s="279"/>
      <c r="G53" s="253"/>
      <c r="H53" s="253"/>
      <c r="I53" s="232"/>
      <c r="J53" s="253"/>
      <c r="K53" s="279"/>
      <c r="L53" s="226"/>
      <c r="M53" s="226"/>
      <c r="N53" s="253"/>
      <c r="O53" s="226"/>
    </row>
    <row r="54" spans="2:15" ht="30" customHeight="1">
      <c r="B54" s="624" t="s">
        <v>186</v>
      </c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6"/>
    </row>
    <row r="55" spans="2:15" ht="15" customHeight="1" thickBo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 ht="36" customHeight="1">
      <c r="B56" s="591" t="s">
        <v>126</v>
      </c>
      <c r="C56" s="590"/>
      <c r="D56" s="590" t="s">
        <v>181</v>
      </c>
      <c r="E56" s="590" t="s">
        <v>177</v>
      </c>
      <c r="F56" s="590"/>
      <c r="G56" s="590"/>
      <c r="H56" s="590" t="s">
        <v>178</v>
      </c>
      <c r="I56" s="590"/>
      <c r="J56" s="590"/>
      <c r="K56" s="590"/>
      <c r="L56" s="590" t="s">
        <v>183</v>
      </c>
      <c r="M56" s="590"/>
      <c r="N56" s="590" t="s">
        <v>182</v>
      </c>
      <c r="O56" s="592"/>
    </row>
    <row r="57" spans="2:15" ht="33" customHeight="1">
      <c r="B57" s="556"/>
      <c r="C57" s="479"/>
      <c r="D57" s="479"/>
      <c r="E57" s="35" t="s">
        <v>176</v>
      </c>
      <c r="F57" s="479" t="s">
        <v>191</v>
      </c>
      <c r="G57" s="479"/>
      <c r="H57" s="479" t="s">
        <v>176</v>
      </c>
      <c r="I57" s="479"/>
      <c r="J57" s="479" t="s">
        <v>191</v>
      </c>
      <c r="K57" s="479"/>
      <c r="L57" s="35" t="s">
        <v>176</v>
      </c>
      <c r="M57" s="35" t="s">
        <v>191</v>
      </c>
      <c r="N57" s="35" t="s">
        <v>176</v>
      </c>
      <c r="O57" s="36" t="s">
        <v>191</v>
      </c>
    </row>
    <row r="58" spans="2:15" ht="15" customHeight="1" thickBot="1">
      <c r="B58" s="31"/>
      <c r="C58" s="31"/>
      <c r="D58" s="31"/>
      <c r="E58" s="239"/>
      <c r="F58" s="239"/>
      <c r="G58" s="239"/>
      <c r="H58" s="239"/>
      <c r="I58" s="239"/>
      <c r="J58" s="239"/>
      <c r="K58" s="239"/>
      <c r="L58" s="31"/>
      <c r="M58" s="239"/>
      <c r="N58" s="31"/>
      <c r="O58" s="239"/>
    </row>
    <row r="59" spans="2:15" ht="30" customHeight="1">
      <c r="B59" s="482" t="s">
        <v>134</v>
      </c>
      <c r="C59" s="565"/>
      <c r="D59" s="32">
        <v>40</v>
      </c>
      <c r="E59" s="98" t="e">
        <f>C41/E7</f>
        <v>#DIV/0!</v>
      </c>
      <c r="F59" s="475" t="e">
        <f>E59*100/D59</f>
        <v>#DIV/0!</v>
      </c>
      <c r="G59" s="475"/>
      <c r="H59" s="475" t="e">
        <f>D59-E59-L59-N59</f>
        <v>#DIV/0!</v>
      </c>
      <c r="I59" s="475"/>
      <c r="J59" s="475" t="e">
        <f>H59*100/D59</f>
        <v>#DIV/0!</v>
      </c>
      <c r="K59" s="627"/>
      <c r="L59" s="50"/>
      <c r="M59" s="214">
        <f>L59*100/D59</f>
        <v>0</v>
      </c>
      <c r="N59" s="50"/>
      <c r="O59" s="319">
        <f>N59*100/D59</f>
        <v>0</v>
      </c>
    </row>
    <row r="60" spans="2:15" ht="30" customHeight="1">
      <c r="B60" s="461" t="s">
        <v>141</v>
      </c>
      <c r="C60" s="462"/>
      <c r="D60" s="116">
        <v>40</v>
      </c>
      <c r="E60" s="40" t="e">
        <f>J41/E8</f>
        <v>#DIV/0!</v>
      </c>
      <c r="F60" s="473" t="e">
        <f>E60*100/D60</f>
        <v>#DIV/0!</v>
      </c>
      <c r="G60" s="473"/>
      <c r="H60" s="473" t="e">
        <f>D60-E60-L60-N60</f>
        <v>#DIV/0!</v>
      </c>
      <c r="I60" s="473"/>
      <c r="J60" s="473" t="e">
        <f>H60*100/D60</f>
        <v>#DIV/0!</v>
      </c>
      <c r="K60" s="623"/>
      <c r="L60" s="203"/>
      <c r="M60" s="216">
        <f>L60*100/D60</f>
        <v>0</v>
      </c>
      <c r="N60" s="203"/>
      <c r="O60" s="320">
        <f>N60*100/D60</f>
        <v>0</v>
      </c>
    </row>
    <row r="61" spans="2:15" ht="30" customHeight="1">
      <c r="B61" s="478" t="s">
        <v>174</v>
      </c>
      <c r="C61" s="479"/>
      <c r="D61" s="35">
        <v>40</v>
      </c>
      <c r="E61" s="43" t="e">
        <f>M41/E9</f>
        <v>#DIV/0!</v>
      </c>
      <c r="F61" s="583" t="e">
        <f>E61*100/D61</f>
        <v>#DIV/0!</v>
      </c>
      <c r="G61" s="583"/>
      <c r="H61" s="583" t="e">
        <f>D61-E61-L61-N61</f>
        <v>#DIV/0!</v>
      </c>
      <c r="I61" s="583"/>
      <c r="J61" s="583" t="e">
        <f>H61*100/D61</f>
        <v>#DIV/0!</v>
      </c>
      <c r="K61" s="586"/>
      <c r="L61" s="51"/>
      <c r="M61" s="258">
        <f>L61*100/D61</f>
        <v>0</v>
      </c>
      <c r="N61" s="51"/>
      <c r="O61" s="321">
        <f>N61*100/D61</f>
        <v>0</v>
      </c>
    </row>
    <row r="62" spans="2:15" ht="15" customHeight="1" thickBot="1">
      <c r="B62" s="253"/>
      <c r="C62" s="253"/>
      <c r="D62" s="253"/>
      <c r="E62" s="232"/>
      <c r="F62" s="232"/>
      <c r="G62" s="232"/>
      <c r="H62" s="232"/>
      <c r="I62" s="232"/>
      <c r="J62" s="232"/>
      <c r="K62" s="232"/>
      <c r="L62" s="279"/>
      <c r="M62" s="232"/>
      <c r="N62" s="279"/>
      <c r="O62" s="232"/>
    </row>
    <row r="63" spans="2:15" ht="30" customHeight="1">
      <c r="B63" s="587" t="s">
        <v>85</v>
      </c>
      <c r="C63" s="588"/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9"/>
    </row>
    <row r="64" spans="2:15" ht="15" customHeight="1" thickBot="1"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</row>
    <row r="65" spans="2:15" s="308" customFormat="1" ht="39.75" customHeight="1">
      <c r="B65" s="585"/>
      <c r="C65" s="585"/>
      <c r="D65" s="552" t="s">
        <v>101</v>
      </c>
      <c r="E65" s="553"/>
      <c r="F65" s="562" t="s">
        <v>99</v>
      </c>
      <c r="G65" s="557"/>
      <c r="H65" s="564"/>
      <c r="I65" s="553" t="s">
        <v>102</v>
      </c>
      <c r="J65" s="553"/>
      <c r="K65" s="553"/>
      <c r="L65" s="45" t="s">
        <v>103</v>
      </c>
      <c r="M65" s="45" t="s">
        <v>131</v>
      </c>
      <c r="N65" s="467" t="s">
        <v>211</v>
      </c>
      <c r="O65" s="584"/>
    </row>
    <row r="66" spans="2:15" s="308" customFormat="1" ht="15" customHeight="1">
      <c r="B66" s="94"/>
      <c r="C66" s="31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111"/>
      <c r="O66" s="111"/>
    </row>
    <row r="67" spans="2:15" ht="30" customHeight="1">
      <c r="B67" s="593" t="s">
        <v>26</v>
      </c>
      <c r="C67" s="551"/>
      <c r="D67" s="551">
        <f>AçõesColetivas!J38</f>
        <v>0</v>
      </c>
      <c r="E67" s="551"/>
      <c r="F67" s="551">
        <f>AçõesColetivas!J40</f>
        <v>0</v>
      </c>
      <c r="G67" s="551"/>
      <c r="H67" s="551"/>
      <c r="I67" s="551">
        <f>AçõesColetivas!J41</f>
        <v>0</v>
      </c>
      <c r="J67" s="551"/>
      <c r="K67" s="551"/>
      <c r="L67" s="150">
        <f>AçõesColetivas!J43</f>
        <v>0</v>
      </c>
      <c r="M67" s="150">
        <f>AçõesColetivas!J45</f>
        <v>0</v>
      </c>
      <c r="N67" s="551">
        <f>SUM(D67:M67)</f>
        <v>0</v>
      </c>
      <c r="O67" s="525"/>
    </row>
  </sheetData>
  <sheetProtection sheet="1" objects="1" scenarios="1"/>
  <mergeCells count="133">
    <mergeCell ref="B54:O54"/>
    <mergeCell ref="H61:I61"/>
    <mergeCell ref="E56:G56"/>
    <mergeCell ref="F57:G57"/>
    <mergeCell ref="F59:G59"/>
    <mergeCell ref="F60:G60"/>
    <mergeCell ref="F61:G61"/>
    <mergeCell ref="H56:K56"/>
    <mergeCell ref="J57:K57"/>
    <mergeCell ref="J59:K59"/>
    <mergeCell ref="J60:K60"/>
    <mergeCell ref="H57:I57"/>
    <mergeCell ref="H59:I59"/>
    <mergeCell ref="H60:I60"/>
    <mergeCell ref="J36:K36"/>
    <mergeCell ref="D47:G47"/>
    <mergeCell ref="F48:G48"/>
    <mergeCell ref="J41:N41"/>
    <mergeCell ref="H47:L47"/>
    <mergeCell ref="K48:L48"/>
    <mergeCell ref="H48:J48"/>
    <mergeCell ref="B44:O44"/>
    <mergeCell ref="M47:O47"/>
    <mergeCell ref="J42:N42"/>
    <mergeCell ref="J32:K32"/>
    <mergeCell ref="J33:K33"/>
    <mergeCell ref="J34:K34"/>
    <mergeCell ref="J35:K35"/>
    <mergeCell ref="H35:I35"/>
    <mergeCell ref="H36:I36"/>
    <mergeCell ref="J23:K23"/>
    <mergeCell ref="J25:K25"/>
    <mergeCell ref="J26:K26"/>
    <mergeCell ref="J27:K27"/>
    <mergeCell ref="J28:K28"/>
    <mergeCell ref="J29:K29"/>
    <mergeCell ref="J30:K30"/>
    <mergeCell ref="J31:K31"/>
    <mergeCell ref="I15:K15"/>
    <mergeCell ref="I18:K18"/>
    <mergeCell ref="H23:I23"/>
    <mergeCell ref="C22:O22"/>
    <mergeCell ref="F17:G17"/>
    <mergeCell ref="F18:G18"/>
    <mergeCell ref="I16:K16"/>
    <mergeCell ref="I17:K17"/>
    <mergeCell ref="F15:G15"/>
    <mergeCell ref="F16:G16"/>
    <mergeCell ref="B15:C15"/>
    <mergeCell ref="B7:C7"/>
    <mergeCell ref="B8:C8"/>
    <mergeCell ref="B11:O11"/>
    <mergeCell ref="B13:C13"/>
    <mergeCell ref="B9:C9"/>
    <mergeCell ref="I7:K7"/>
    <mergeCell ref="I8:K8"/>
    <mergeCell ref="N15:O15"/>
    <mergeCell ref="I9:K9"/>
    <mergeCell ref="N16:O16"/>
    <mergeCell ref="J39:N39"/>
    <mergeCell ref="J40:N40"/>
    <mergeCell ref="B20:O20"/>
    <mergeCell ref="N18:O18"/>
    <mergeCell ref="B17:C17"/>
    <mergeCell ref="N17:O17"/>
    <mergeCell ref="B16:C16"/>
    <mergeCell ref="B18:C18"/>
    <mergeCell ref="J38:N38"/>
    <mergeCell ref="N67:O67"/>
    <mergeCell ref="B63:O63"/>
    <mergeCell ref="D56:D57"/>
    <mergeCell ref="B56:C57"/>
    <mergeCell ref="B59:C59"/>
    <mergeCell ref="B60:C60"/>
    <mergeCell ref="L56:M56"/>
    <mergeCell ref="N56:O56"/>
    <mergeCell ref="B67:C67"/>
    <mergeCell ref="I67:K67"/>
    <mergeCell ref="D52:E52"/>
    <mergeCell ref="B61:C61"/>
    <mergeCell ref="N65:O65"/>
    <mergeCell ref="M52:N52"/>
    <mergeCell ref="B65:C65"/>
    <mergeCell ref="I65:K65"/>
    <mergeCell ref="F65:H65"/>
    <mergeCell ref="B52:C52"/>
    <mergeCell ref="K52:L52"/>
    <mergeCell ref="J61:K61"/>
    <mergeCell ref="F52:G52"/>
    <mergeCell ref="H50:J50"/>
    <mergeCell ref="H51:J51"/>
    <mergeCell ref="H52:J52"/>
    <mergeCell ref="F50:G50"/>
    <mergeCell ref="F51:G51"/>
    <mergeCell ref="B47:C48"/>
    <mergeCell ref="D48:E48"/>
    <mergeCell ref="M50:N50"/>
    <mergeCell ref="M51:N51"/>
    <mergeCell ref="M48:N48"/>
    <mergeCell ref="D50:E50"/>
    <mergeCell ref="D51:E51"/>
    <mergeCell ref="K50:L50"/>
    <mergeCell ref="K51:L51"/>
    <mergeCell ref="C42:I42"/>
    <mergeCell ref="B22:B23"/>
    <mergeCell ref="C38:I38"/>
    <mergeCell ref="H28:I28"/>
    <mergeCell ref="H29:I29"/>
    <mergeCell ref="H30:I30"/>
    <mergeCell ref="H31:I31"/>
    <mergeCell ref="H32:I32"/>
    <mergeCell ref="H33:I33"/>
    <mergeCell ref="H34:I34"/>
    <mergeCell ref="I13:K13"/>
    <mergeCell ref="B50:C50"/>
    <mergeCell ref="B51:C51"/>
    <mergeCell ref="H25:I25"/>
    <mergeCell ref="H26:I26"/>
    <mergeCell ref="H27:I27"/>
    <mergeCell ref="B46:O46"/>
    <mergeCell ref="C39:I39"/>
    <mergeCell ref="C40:I40"/>
    <mergeCell ref="C41:I41"/>
    <mergeCell ref="F67:H67"/>
    <mergeCell ref="D65:E65"/>
    <mergeCell ref="D67:E67"/>
    <mergeCell ref="B2:O2"/>
    <mergeCell ref="B5:C5"/>
    <mergeCell ref="M13:O13"/>
    <mergeCell ref="I4:O4"/>
    <mergeCell ref="B4:G4"/>
    <mergeCell ref="E13:G13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rowBreaks count="2" manualBreakCount="2">
    <brk id="19" max="255" man="1"/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61"/>
  <sheetViews>
    <sheetView zoomScale="65" zoomScaleNormal="65" zoomScaleSheetLayoutView="85" workbookViewId="0" topLeftCell="A1">
      <selection activeCell="A1" sqref="A1"/>
    </sheetView>
  </sheetViews>
  <sheetFormatPr defaultColWidth="9.140625" defaultRowHeight="12.75"/>
  <cols>
    <col min="1" max="1" width="2.7109375" style="296" customWidth="1"/>
    <col min="2" max="2" width="22.57421875" style="296" customWidth="1"/>
    <col min="3" max="3" width="16.7109375" style="296" customWidth="1"/>
    <col min="4" max="4" width="18.421875" style="296" customWidth="1"/>
    <col min="5" max="5" width="19.8515625" style="296" customWidth="1"/>
    <col min="6" max="7" width="16.7109375" style="296" customWidth="1"/>
    <col min="8" max="8" width="2.7109375" style="296" customWidth="1"/>
    <col min="9" max="10" width="16.7109375" style="296" customWidth="1"/>
    <col min="11" max="11" width="18.140625" style="296" customWidth="1"/>
    <col min="12" max="13" width="16.7109375" style="296" customWidth="1"/>
    <col min="14" max="14" width="12.00390625" style="296" bestFit="1" customWidth="1"/>
    <col min="15" max="15" width="2.7109375" style="296" customWidth="1"/>
    <col min="16" max="16384" width="9.140625" style="296" customWidth="1"/>
  </cols>
  <sheetData>
    <row r="1" ht="15" customHeight="1" thickBot="1"/>
    <row r="2" spans="2:16" ht="39.75" customHeight="1">
      <c r="B2" s="429" t="s">
        <v>28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4"/>
      <c r="O2" s="327"/>
      <c r="P2" s="327"/>
    </row>
    <row r="3" ht="15" thickBot="1"/>
    <row r="4" spans="2:15" ht="41.25" customHeight="1">
      <c r="B4" s="559" t="s">
        <v>238</v>
      </c>
      <c r="C4" s="560"/>
      <c r="D4" s="560"/>
      <c r="E4" s="560"/>
      <c r="F4" s="560"/>
      <c r="G4" s="561"/>
      <c r="H4" s="328"/>
      <c r="I4" s="559" t="s">
        <v>27</v>
      </c>
      <c r="J4" s="560"/>
      <c r="K4" s="560"/>
      <c r="L4" s="560"/>
      <c r="M4" s="560"/>
      <c r="N4" s="561"/>
      <c r="O4" s="299"/>
    </row>
    <row r="5" spans="2:15" ht="60" customHeight="1">
      <c r="B5" s="556" t="s">
        <v>125</v>
      </c>
      <c r="C5" s="479"/>
      <c r="D5" s="37" t="s">
        <v>236</v>
      </c>
      <c r="E5" s="37" t="s">
        <v>237</v>
      </c>
      <c r="F5" s="37" t="s">
        <v>220</v>
      </c>
      <c r="G5" s="38" t="s">
        <v>305</v>
      </c>
      <c r="H5" s="205"/>
      <c r="I5" s="556" t="s">
        <v>125</v>
      </c>
      <c r="J5" s="479"/>
      <c r="K5" s="35" t="s">
        <v>130</v>
      </c>
      <c r="L5" s="35" t="s">
        <v>129</v>
      </c>
      <c r="M5" s="35" t="s">
        <v>128</v>
      </c>
      <c r="N5" s="36" t="s">
        <v>127</v>
      </c>
      <c r="O5" s="299"/>
    </row>
    <row r="6" spans="2:14" ht="15" customHeight="1" thickBot="1">
      <c r="B6" s="239"/>
      <c r="C6" s="239"/>
      <c r="D6" s="329"/>
      <c r="E6" s="329"/>
      <c r="F6" s="329"/>
      <c r="G6" s="29"/>
      <c r="H6" s="31"/>
      <c r="I6" s="239"/>
      <c r="J6" s="239"/>
      <c r="K6" s="239"/>
      <c r="L6" s="239"/>
      <c r="M6" s="239"/>
      <c r="N6" s="239"/>
    </row>
    <row r="7" spans="2:15" ht="29.25" customHeight="1">
      <c r="B7" s="438" t="s">
        <v>171</v>
      </c>
      <c r="C7" s="645"/>
      <c r="D7" s="50"/>
      <c r="E7" s="57" t="e">
        <f>60/D7</f>
        <v>#DIV/0!</v>
      </c>
      <c r="F7" s="47"/>
      <c r="G7" s="49"/>
      <c r="H7" s="209"/>
      <c r="I7" s="482" t="s">
        <v>134</v>
      </c>
      <c r="J7" s="565"/>
      <c r="K7" s="32" t="e">
        <f>F7*E7*G7</f>
        <v>#DIV/0!</v>
      </c>
      <c r="L7" s="32" t="e">
        <f>K7*5</f>
        <v>#DIV/0!</v>
      </c>
      <c r="M7" s="32" t="e">
        <f>L7*4</f>
        <v>#DIV/0!</v>
      </c>
      <c r="N7" s="82" t="e">
        <f>M7*11</f>
        <v>#DIV/0!</v>
      </c>
      <c r="O7" s="299"/>
    </row>
    <row r="8" spans="2:15" ht="33.75" customHeight="1">
      <c r="B8" s="642" t="s">
        <v>173</v>
      </c>
      <c r="C8" s="649"/>
      <c r="D8" s="51"/>
      <c r="E8" s="60" t="e">
        <f>60/D8</f>
        <v>#DIV/0!</v>
      </c>
      <c r="F8" s="48"/>
      <c r="G8" s="46"/>
      <c r="H8" s="209"/>
      <c r="I8" s="478" t="s">
        <v>174</v>
      </c>
      <c r="J8" s="479"/>
      <c r="K8" s="35" t="e">
        <f>F8*E8*G8</f>
        <v>#DIV/0!</v>
      </c>
      <c r="L8" s="35" t="e">
        <f>K8*5</f>
        <v>#DIV/0!</v>
      </c>
      <c r="M8" s="35" t="e">
        <f>L8*4</f>
        <v>#DIV/0!</v>
      </c>
      <c r="N8" s="36" t="e">
        <f>M8*11</f>
        <v>#DIV/0!</v>
      </c>
      <c r="O8" s="299"/>
    </row>
    <row r="9" spans="2:15" ht="15" customHeight="1" thickBot="1">
      <c r="B9" s="330"/>
      <c r="C9" s="30"/>
      <c r="D9" s="31"/>
      <c r="E9" s="31"/>
      <c r="F9" s="31"/>
      <c r="G9" s="31"/>
      <c r="H9" s="31"/>
      <c r="I9" s="151"/>
      <c r="J9" s="151"/>
      <c r="K9" s="31"/>
      <c r="L9" s="31"/>
      <c r="M9" s="31"/>
      <c r="N9" s="220"/>
      <c r="O9" s="299"/>
    </row>
    <row r="10" spans="2:15" ht="27" customHeight="1">
      <c r="B10" s="605" t="s">
        <v>221</v>
      </c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297"/>
    </row>
    <row r="11" spans="2:15" ht="15" customHeight="1" thickBot="1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298"/>
    </row>
    <row r="12" spans="2:15" ht="31.5" customHeight="1">
      <c r="B12" s="552" t="s">
        <v>117</v>
      </c>
      <c r="C12" s="553"/>
      <c r="D12" s="45" t="s">
        <v>222</v>
      </c>
      <c r="E12" s="562" t="s">
        <v>132</v>
      </c>
      <c r="F12" s="557"/>
      <c r="G12" s="558"/>
      <c r="H12" s="209"/>
      <c r="I12" s="646" t="s">
        <v>117</v>
      </c>
      <c r="J12" s="647"/>
      <c r="K12" s="331" t="s">
        <v>222</v>
      </c>
      <c r="L12" s="647" t="s">
        <v>132</v>
      </c>
      <c r="M12" s="647"/>
      <c r="N12" s="648"/>
      <c r="O12" s="299"/>
    </row>
    <row r="13" spans="2:14" ht="15" customHeight="1" thickBot="1">
      <c r="B13" s="239"/>
      <c r="C13" s="239"/>
      <c r="D13" s="239"/>
      <c r="E13" s="239"/>
      <c r="F13" s="239"/>
      <c r="G13" s="239"/>
      <c r="H13" s="31"/>
      <c r="I13" s="239"/>
      <c r="J13" s="239"/>
      <c r="K13" s="239"/>
      <c r="L13" s="239"/>
      <c r="M13" s="239"/>
      <c r="N13" s="239"/>
    </row>
    <row r="14" spans="2:15" ht="30" customHeight="1">
      <c r="B14" s="438" t="s">
        <v>91</v>
      </c>
      <c r="C14" s="641"/>
      <c r="D14" s="50"/>
      <c r="E14" s="332" t="e">
        <f>D14/D7</f>
        <v>#DIV/0!</v>
      </c>
      <c r="F14" s="611" t="s">
        <v>86</v>
      </c>
      <c r="G14" s="612"/>
      <c r="H14" s="333"/>
      <c r="I14" s="438" t="s">
        <v>76</v>
      </c>
      <c r="J14" s="641"/>
      <c r="K14" s="50"/>
      <c r="L14" s="332" t="e">
        <f>K14/D7</f>
        <v>#DIV/0!</v>
      </c>
      <c r="M14" s="441" t="s">
        <v>86</v>
      </c>
      <c r="N14" s="601"/>
      <c r="O14" s="299"/>
    </row>
    <row r="15" spans="2:15" ht="30" customHeight="1">
      <c r="B15" s="642" t="s">
        <v>29</v>
      </c>
      <c r="C15" s="643"/>
      <c r="D15" s="51"/>
      <c r="E15" s="334" t="e">
        <f>D15/D7</f>
        <v>#DIV/0!</v>
      </c>
      <c r="F15" s="594" t="s">
        <v>86</v>
      </c>
      <c r="G15" s="595"/>
      <c r="H15" s="333"/>
      <c r="I15" s="505" t="s">
        <v>77</v>
      </c>
      <c r="J15" s="644"/>
      <c r="K15" s="52"/>
      <c r="L15" s="209" t="e">
        <f>K15/D7</f>
        <v>#DIV/0!</v>
      </c>
      <c r="M15" s="441" t="s">
        <v>86</v>
      </c>
      <c r="N15" s="601"/>
      <c r="O15" s="299"/>
    </row>
    <row r="16" spans="2:14" ht="15" customHeight="1" thickBot="1">
      <c r="B16" s="293"/>
      <c r="C16" s="293"/>
      <c r="D16" s="253"/>
      <c r="E16" s="253"/>
      <c r="F16" s="293"/>
      <c r="G16" s="293"/>
      <c r="H16" s="306"/>
      <c r="I16" s="335"/>
      <c r="J16" s="335"/>
      <c r="K16" s="253"/>
      <c r="L16" s="253"/>
      <c r="M16" s="335"/>
      <c r="N16" s="335"/>
    </row>
    <row r="17" spans="2:15" ht="41.25" customHeight="1">
      <c r="B17" s="587" t="s">
        <v>179</v>
      </c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299"/>
    </row>
    <row r="18" spans="2:14" ht="15" customHeight="1" thickBot="1">
      <c r="B18" s="74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</row>
    <row r="19" spans="2:14" ht="30" customHeight="1">
      <c r="B19" s="639"/>
      <c r="C19" s="616" t="s">
        <v>223</v>
      </c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8"/>
    </row>
    <row r="20" spans="2:14" ht="78" customHeight="1">
      <c r="B20" s="640"/>
      <c r="C20" s="307" t="s">
        <v>94</v>
      </c>
      <c r="D20" s="37" t="s">
        <v>32</v>
      </c>
      <c r="E20" s="37" t="s">
        <v>96</v>
      </c>
      <c r="F20" s="37" t="s">
        <v>73</v>
      </c>
      <c r="G20" s="37" t="s">
        <v>74</v>
      </c>
      <c r="H20" s="615" t="s">
        <v>306</v>
      </c>
      <c r="I20" s="615"/>
      <c r="J20" s="37" t="s">
        <v>97</v>
      </c>
      <c r="K20" s="37" t="s">
        <v>235</v>
      </c>
      <c r="L20" s="37" t="s">
        <v>403</v>
      </c>
      <c r="M20" s="37" t="s">
        <v>30</v>
      </c>
      <c r="N20" s="38" t="s">
        <v>224</v>
      </c>
    </row>
    <row r="21" spans="2:14" ht="15" customHeight="1">
      <c r="B21" s="308"/>
      <c r="C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</row>
    <row r="22" spans="2:14" ht="35.25" customHeight="1">
      <c r="B22" s="309" t="s">
        <v>100</v>
      </c>
      <c r="C22" s="98"/>
      <c r="D22" s="32"/>
      <c r="E22" s="98"/>
      <c r="F22" s="98"/>
      <c r="G22" s="65"/>
      <c r="H22" s="475"/>
      <c r="I22" s="475"/>
      <c r="J22" s="32"/>
      <c r="K22" s="98"/>
      <c r="L22" s="98">
        <f>Tratamento!I9</f>
        <v>0</v>
      </c>
      <c r="M22" s="98"/>
      <c r="N22" s="115">
        <f>SUM(C22:M22)</f>
        <v>0</v>
      </c>
    </row>
    <row r="23" spans="2:14" ht="35.25" customHeight="1">
      <c r="B23" s="311" t="s">
        <v>101</v>
      </c>
      <c r="C23" s="40">
        <f>'Av.Risco e 1a Cons'!I9</f>
        <v>0</v>
      </c>
      <c r="D23" s="40">
        <f>'Av.Risco e 1a Cons'!I20</f>
        <v>0</v>
      </c>
      <c r="E23" s="40">
        <f>Tratamento!I10</f>
        <v>0</v>
      </c>
      <c r="F23" s="40"/>
      <c r="G23" s="40">
        <f>Tratamento!I14</f>
        <v>0</v>
      </c>
      <c r="H23" s="473">
        <f>Tratamento!I13</f>
        <v>0</v>
      </c>
      <c r="I23" s="473"/>
      <c r="J23" s="40">
        <f>Tratamento!I12</f>
        <v>0</v>
      </c>
      <c r="K23" s="40">
        <f>Tratamento!I11</f>
        <v>0</v>
      </c>
      <c r="L23" s="40"/>
      <c r="M23" s="40">
        <f>AçõesColetivas!J9+AçõesColetivas!J21</f>
        <v>0</v>
      </c>
      <c r="N23" s="118">
        <f aca="true" t="shared" si="0" ref="N23:N33">SUM(C23:M23)</f>
        <v>0</v>
      </c>
    </row>
    <row r="24" spans="2:14" ht="35.25" customHeight="1">
      <c r="B24" s="311" t="s">
        <v>99</v>
      </c>
      <c r="C24" s="40">
        <f>'Av.Risco e 1a Cons'!I10</f>
        <v>0</v>
      </c>
      <c r="D24" s="40">
        <f>'Av.Risco e 1a Cons'!I21</f>
        <v>0</v>
      </c>
      <c r="E24" s="40">
        <f>Tratamento!I18</f>
        <v>0</v>
      </c>
      <c r="F24" s="40"/>
      <c r="G24" s="66">
        <f>Tratamento!I22</f>
        <v>0</v>
      </c>
      <c r="H24" s="473">
        <f>Tratamento!I21</f>
        <v>0</v>
      </c>
      <c r="I24" s="473"/>
      <c r="J24" s="40">
        <f>Tratamento!I20</f>
        <v>0</v>
      </c>
      <c r="K24" s="40">
        <f>Tratamento!I19</f>
        <v>0</v>
      </c>
      <c r="L24" s="116"/>
      <c r="M24" s="40">
        <f>AçõesColetivas!J10+AçõesColetivas!J22</f>
        <v>0</v>
      </c>
      <c r="N24" s="118">
        <f t="shared" si="0"/>
        <v>0</v>
      </c>
    </row>
    <row r="25" spans="2:14" ht="35.25" customHeight="1">
      <c r="B25" s="311" t="s">
        <v>102</v>
      </c>
      <c r="C25" s="40">
        <f>'Av.Risco e 1a Cons'!I11</f>
        <v>0</v>
      </c>
      <c r="D25" s="40">
        <f>'Av.Risco e 1a Cons'!I22</f>
        <v>0</v>
      </c>
      <c r="E25" s="40">
        <f>Tratamento!I26</f>
        <v>0</v>
      </c>
      <c r="F25" s="40">
        <f>Tratamento!I30</f>
        <v>0</v>
      </c>
      <c r="G25" s="66">
        <f>Tratamento!I31</f>
        <v>0</v>
      </c>
      <c r="H25" s="473">
        <f>Tratamento!I29</f>
        <v>0</v>
      </c>
      <c r="I25" s="473"/>
      <c r="J25" s="40">
        <f>Tratamento!I28</f>
        <v>0</v>
      </c>
      <c r="K25" s="40">
        <f>Tratamento!I27</f>
        <v>0</v>
      </c>
      <c r="L25" s="116"/>
      <c r="M25" s="40">
        <f>AçõesColetivas!J11</f>
        <v>0</v>
      </c>
      <c r="N25" s="118">
        <f t="shared" si="0"/>
        <v>0</v>
      </c>
    </row>
    <row r="26" spans="2:14" ht="30" customHeight="1">
      <c r="B26" s="311" t="s">
        <v>103</v>
      </c>
      <c r="C26" s="40">
        <f>'Av.Risco e 1a Cons'!I12</f>
        <v>0</v>
      </c>
      <c r="D26" s="40">
        <f>'Av.Risco e 1a Cons'!I23</f>
        <v>0</v>
      </c>
      <c r="E26" s="40">
        <f>Tratamento!I35</f>
        <v>0</v>
      </c>
      <c r="F26" s="40">
        <f>Tratamento!I39</f>
        <v>0</v>
      </c>
      <c r="G26" s="66">
        <f>Tratamento!I40</f>
        <v>0</v>
      </c>
      <c r="H26" s="473">
        <f>Tratamento!I38</f>
        <v>0</v>
      </c>
      <c r="I26" s="473"/>
      <c r="J26" s="40">
        <f>Tratamento!I37</f>
        <v>0</v>
      </c>
      <c r="K26" s="40">
        <f>Tratamento!I36</f>
        <v>0</v>
      </c>
      <c r="L26" s="116"/>
      <c r="M26" s="40">
        <f>AçõesColetivas!J12+AçõesColetivas!J23</f>
        <v>0</v>
      </c>
      <c r="N26" s="118">
        <f t="shared" si="0"/>
        <v>0</v>
      </c>
    </row>
    <row r="27" spans="2:14" ht="30" customHeight="1">
      <c r="B27" s="311" t="s">
        <v>131</v>
      </c>
      <c r="C27" s="40">
        <f>'Av.Risco e 1a Cons'!I13</f>
        <v>0</v>
      </c>
      <c r="D27" s="40">
        <f>'Av.Risco e 1a Cons'!I24</f>
        <v>0</v>
      </c>
      <c r="E27" s="40">
        <f>Tratamento!I44</f>
        <v>0</v>
      </c>
      <c r="F27" s="40">
        <f>Tratamento!I48</f>
        <v>0</v>
      </c>
      <c r="G27" s="66">
        <f>Tratamento!I49</f>
        <v>0</v>
      </c>
      <c r="H27" s="473">
        <f>Tratamento!I47</f>
        <v>0</v>
      </c>
      <c r="I27" s="473"/>
      <c r="J27" s="40">
        <f>Tratamento!I46</f>
        <v>0</v>
      </c>
      <c r="K27" s="40">
        <f>Tratamento!I45</f>
        <v>0</v>
      </c>
      <c r="L27" s="40"/>
      <c r="M27" s="40">
        <f>AçõesColetivas!J13+AçõesColetivas!J25</f>
        <v>0</v>
      </c>
      <c r="N27" s="118">
        <f t="shared" si="0"/>
        <v>0</v>
      </c>
    </row>
    <row r="28" spans="2:14" ht="30" customHeight="1">
      <c r="B28" s="311" t="s">
        <v>104</v>
      </c>
      <c r="C28" s="40">
        <f>'Av.Risco e 1a Cons'!I14</f>
        <v>0</v>
      </c>
      <c r="D28" s="40">
        <f>'Av.Risco e 1a Cons'!I25</f>
        <v>0</v>
      </c>
      <c r="E28" s="40">
        <f>Tratamento!I53</f>
        <v>0</v>
      </c>
      <c r="F28" s="40">
        <f>Tratamento!I57</f>
        <v>0</v>
      </c>
      <c r="G28" s="66">
        <f>Tratamento!I58</f>
        <v>0</v>
      </c>
      <c r="H28" s="473">
        <f>Tratamento!I56</f>
        <v>0</v>
      </c>
      <c r="I28" s="473"/>
      <c r="J28" s="40">
        <f>Tratamento!I55</f>
        <v>0</v>
      </c>
      <c r="K28" s="40">
        <f>Tratamento!I54</f>
        <v>0</v>
      </c>
      <c r="L28" s="116"/>
      <c r="M28" s="40">
        <f>AçõesColetivas!J14+AçõesColetivas!J24</f>
        <v>0</v>
      </c>
      <c r="N28" s="118">
        <f t="shared" si="0"/>
        <v>0</v>
      </c>
    </row>
    <row r="29" spans="2:14" ht="30" customHeight="1">
      <c r="B29" s="311" t="s">
        <v>105</v>
      </c>
      <c r="C29" s="40">
        <f>'Av.Risco e 1a Cons'!I15</f>
        <v>0</v>
      </c>
      <c r="D29" s="40">
        <f>'Av.Risco e 1a Cons'!I26</f>
        <v>0</v>
      </c>
      <c r="E29" s="40">
        <f>Tratamento!I62</f>
        <v>0</v>
      </c>
      <c r="F29" s="40">
        <f>Tratamento!I66</f>
        <v>0</v>
      </c>
      <c r="G29" s="66">
        <f>Tratamento!I67</f>
        <v>0</v>
      </c>
      <c r="H29" s="473">
        <f>Tratamento!I65</f>
        <v>0</v>
      </c>
      <c r="I29" s="473"/>
      <c r="J29" s="40">
        <f>Tratamento!I64</f>
        <v>0</v>
      </c>
      <c r="K29" s="40">
        <f>Tratamento!I63</f>
        <v>0</v>
      </c>
      <c r="L29" s="116"/>
      <c r="M29" s="40">
        <f>AçõesColetivas!J15</f>
        <v>0</v>
      </c>
      <c r="N29" s="118">
        <f t="shared" si="0"/>
        <v>0</v>
      </c>
    </row>
    <row r="30" spans="2:14" ht="45" customHeight="1">
      <c r="B30" s="311" t="s">
        <v>106</v>
      </c>
      <c r="C30" s="40">
        <f>'Av.Risco e 1a Cons'!I16</f>
        <v>0</v>
      </c>
      <c r="D30" s="40">
        <f>'Av.Risco e 1a Cons'!I27</f>
        <v>0</v>
      </c>
      <c r="E30" s="40">
        <f>Tratamento!I71</f>
        <v>0</v>
      </c>
      <c r="F30" s="40">
        <f>Tratamento!I75</f>
        <v>0</v>
      </c>
      <c r="G30" s="66">
        <f>Tratamento!I76</f>
        <v>0</v>
      </c>
      <c r="H30" s="473">
        <f>Tratamento!I74</f>
        <v>0</v>
      </c>
      <c r="I30" s="473"/>
      <c r="J30" s="40">
        <f>Tratamento!I73</f>
        <v>0</v>
      </c>
      <c r="K30" s="40">
        <f>Tratamento!I72</f>
        <v>0</v>
      </c>
      <c r="L30" s="116"/>
      <c r="M30" s="40">
        <f>AçõesColetivas!J16</f>
        <v>0</v>
      </c>
      <c r="N30" s="118">
        <f t="shared" si="0"/>
        <v>0</v>
      </c>
    </row>
    <row r="31" spans="2:14" ht="45" customHeight="1">
      <c r="B31" s="311" t="s">
        <v>234</v>
      </c>
      <c r="C31" s="40"/>
      <c r="D31" s="116"/>
      <c r="E31" s="40"/>
      <c r="F31" s="40"/>
      <c r="G31" s="66"/>
      <c r="H31" s="473"/>
      <c r="I31" s="473"/>
      <c r="J31" s="40"/>
      <c r="K31" s="40"/>
      <c r="L31" s="116"/>
      <c r="M31" s="40">
        <f>AçõesColetivas!J17</f>
        <v>0</v>
      </c>
      <c r="N31" s="118">
        <f t="shared" si="0"/>
        <v>0</v>
      </c>
    </row>
    <row r="32" spans="2:14" ht="36.75" customHeight="1">
      <c r="B32" s="312" t="s">
        <v>175</v>
      </c>
      <c r="C32" s="40">
        <f aca="true" t="shared" si="1" ref="C32:H32">SUM(C22:C31)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66">
        <f t="shared" si="1"/>
        <v>0</v>
      </c>
      <c r="H32" s="409">
        <f t="shared" si="1"/>
        <v>0</v>
      </c>
      <c r="I32" s="574"/>
      <c r="J32" s="40">
        <f>SUM(J22:J31)</f>
        <v>0</v>
      </c>
      <c r="K32" s="40">
        <f>SUM(K22:K31)</f>
        <v>0</v>
      </c>
      <c r="L32" s="40">
        <f>SUM(L22:L31)</f>
        <v>0</v>
      </c>
      <c r="M32" s="40">
        <f>SUM(M22:M31)</f>
        <v>0</v>
      </c>
      <c r="N32" s="118">
        <f t="shared" si="0"/>
        <v>0</v>
      </c>
    </row>
    <row r="33" spans="2:14" ht="36.75" customHeight="1">
      <c r="B33" s="313" t="s">
        <v>88</v>
      </c>
      <c r="C33" s="43" t="e">
        <f>C32*E15</f>
        <v>#DIV/0!</v>
      </c>
      <c r="D33" s="43" t="e">
        <f>D32*L14</f>
        <v>#DIV/0!</v>
      </c>
      <c r="E33" s="43" t="e">
        <f>E32*L15</f>
        <v>#DIV/0!</v>
      </c>
      <c r="F33" s="43" t="e">
        <f>F32*L15</f>
        <v>#DIV/0!</v>
      </c>
      <c r="G33" s="260" t="e">
        <f>G32*L15</f>
        <v>#DIV/0!</v>
      </c>
      <c r="H33" s="583" t="e">
        <f>H32*L15</f>
        <v>#DIV/0!</v>
      </c>
      <c r="I33" s="583"/>
      <c r="J33" s="43" t="e">
        <f>J32*L15</f>
        <v>#DIV/0!</v>
      </c>
      <c r="K33" s="43" t="e">
        <f>K32*L15</f>
        <v>#DIV/0!</v>
      </c>
      <c r="L33" s="43" t="e">
        <f>L32*L15</f>
        <v>#DIV/0!</v>
      </c>
      <c r="M33" s="43" t="e">
        <f>M32*E14</f>
        <v>#DIV/0!</v>
      </c>
      <c r="N33" s="44" t="e">
        <f t="shared" si="0"/>
        <v>#DIV/0!</v>
      </c>
    </row>
    <row r="34" spans="2:14" ht="15" customHeight="1" thickBot="1">
      <c r="B34" s="294"/>
      <c r="C34" s="241"/>
      <c r="D34" s="241"/>
      <c r="E34" s="241"/>
      <c r="F34" s="241"/>
      <c r="G34" s="241"/>
      <c r="H34" s="569"/>
      <c r="I34" s="569"/>
      <c r="J34" s="241"/>
      <c r="K34" s="241"/>
      <c r="L34" s="241"/>
      <c r="M34" s="241"/>
      <c r="N34" s="241"/>
    </row>
    <row r="35" spans="2:14" ht="38.25" customHeight="1">
      <c r="B35" s="337" t="s">
        <v>88</v>
      </c>
      <c r="C35" s="636" t="s">
        <v>134</v>
      </c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315" t="s">
        <v>211</v>
      </c>
    </row>
    <row r="36" spans="2:14" ht="30" customHeight="1">
      <c r="B36" s="338" t="s">
        <v>127</v>
      </c>
      <c r="C36" s="637" t="e">
        <f>SUM(C33:M33)</f>
        <v>#DIV/0!</v>
      </c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339" t="e">
        <f>SUM(C36:M36)</f>
        <v>#DIV/0!</v>
      </c>
    </row>
    <row r="37" spans="2:14" ht="30" customHeight="1">
      <c r="B37" s="59" t="s">
        <v>128</v>
      </c>
      <c r="C37" s="473" t="e">
        <f>C36/11</f>
        <v>#DIV/0!</v>
      </c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118" t="e">
        <f>SUM(C37:M37)</f>
        <v>#DIV/0!</v>
      </c>
    </row>
    <row r="38" spans="2:14" ht="30" customHeight="1">
      <c r="B38" s="59" t="s">
        <v>129</v>
      </c>
      <c r="C38" s="473" t="e">
        <f>C37/4</f>
        <v>#DIV/0!</v>
      </c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118" t="e">
        <f>SUM(C38:M38)</f>
        <v>#DIV/0!</v>
      </c>
    </row>
    <row r="39" spans="2:14" ht="30" customHeight="1">
      <c r="B39" s="61" t="s">
        <v>130</v>
      </c>
      <c r="C39" s="583" t="e">
        <f>C38/5</f>
        <v>#DIV/0!</v>
      </c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44" t="e">
        <f>SUM(C39:M39)</f>
        <v>#DIV/0!</v>
      </c>
    </row>
    <row r="40" spans="2:14" ht="15" customHeight="1" thickBot="1">
      <c r="B40" s="253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2:15" ht="30" customHeight="1">
      <c r="B41" s="587" t="s">
        <v>184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299"/>
    </row>
    <row r="42" spans="2:14" ht="15" customHeight="1" thickBo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  <row r="43" spans="2:14" ht="25.5" customHeight="1">
      <c r="B43" s="559" t="s">
        <v>185</v>
      </c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1"/>
    </row>
    <row r="44" spans="2:14" ht="30" customHeight="1">
      <c r="B44" s="634"/>
      <c r="C44" s="580"/>
      <c r="D44" s="462" t="s">
        <v>187</v>
      </c>
      <c r="E44" s="462"/>
      <c r="F44" s="462"/>
      <c r="G44" s="462"/>
      <c r="H44" s="462" t="s">
        <v>188</v>
      </c>
      <c r="I44" s="462"/>
      <c r="J44" s="462"/>
      <c r="K44" s="462"/>
      <c r="L44" s="462" t="s">
        <v>189</v>
      </c>
      <c r="M44" s="462"/>
      <c r="N44" s="487"/>
    </row>
    <row r="45" spans="2:14" ht="38.25" customHeight="1">
      <c r="B45" s="635"/>
      <c r="C45" s="582"/>
      <c r="D45" s="479" t="s">
        <v>25</v>
      </c>
      <c r="E45" s="479"/>
      <c r="F45" s="479" t="s">
        <v>176</v>
      </c>
      <c r="G45" s="479"/>
      <c r="H45" s="479" t="s">
        <v>25</v>
      </c>
      <c r="I45" s="479"/>
      <c r="J45" s="479"/>
      <c r="K45" s="35" t="s">
        <v>176</v>
      </c>
      <c r="L45" s="479" t="s">
        <v>25</v>
      </c>
      <c r="M45" s="479"/>
      <c r="N45" s="36" t="s">
        <v>176</v>
      </c>
    </row>
    <row r="46" spans="2:14" ht="15" customHeight="1">
      <c r="B46" s="633"/>
      <c r="C46" s="633"/>
      <c r="D46" s="633"/>
      <c r="E46" s="633"/>
      <c r="F46" s="633"/>
      <c r="G46" s="633"/>
      <c r="H46" s="633"/>
      <c r="I46" s="633"/>
      <c r="J46" s="633"/>
      <c r="K46" s="239"/>
      <c r="L46" s="239"/>
      <c r="M46" s="239"/>
      <c r="N46" s="239"/>
    </row>
    <row r="47" spans="2:14" ht="30" customHeight="1">
      <c r="B47" s="482" t="s">
        <v>134</v>
      </c>
      <c r="C47" s="565"/>
      <c r="D47" s="565" t="e">
        <f>K7</f>
        <v>#DIV/0!</v>
      </c>
      <c r="E47" s="565"/>
      <c r="F47" s="565">
        <f>F7</f>
        <v>0</v>
      </c>
      <c r="G47" s="565"/>
      <c r="H47" s="475" t="e">
        <f>C39</f>
        <v>#DIV/0!</v>
      </c>
      <c r="I47" s="475"/>
      <c r="J47" s="475"/>
      <c r="K47" s="98" t="e">
        <f>H47/E7</f>
        <v>#DIV/0!</v>
      </c>
      <c r="L47" s="475" t="e">
        <f>D47-H47</f>
        <v>#DIV/0!</v>
      </c>
      <c r="M47" s="565"/>
      <c r="N47" s="115" t="e">
        <f>L47/E7</f>
        <v>#DIV/0!</v>
      </c>
    </row>
    <row r="48" spans="2:14" ht="30" customHeight="1">
      <c r="B48" s="478" t="s">
        <v>174</v>
      </c>
      <c r="C48" s="479"/>
      <c r="D48" s="479" t="e">
        <f>K8</f>
        <v>#DIV/0!</v>
      </c>
      <c r="E48" s="479"/>
      <c r="F48" s="479">
        <f>F8</f>
        <v>0</v>
      </c>
      <c r="G48" s="479"/>
      <c r="H48" s="583">
        <f>L39</f>
        <v>0</v>
      </c>
      <c r="I48" s="583"/>
      <c r="J48" s="583"/>
      <c r="K48" s="43" t="e">
        <f>H48/E8</f>
        <v>#DIV/0!</v>
      </c>
      <c r="L48" s="583" t="e">
        <f>D48-H48</f>
        <v>#DIV/0!</v>
      </c>
      <c r="M48" s="479"/>
      <c r="N48" s="44" t="e">
        <f>L48/E8</f>
        <v>#DIV/0!</v>
      </c>
    </row>
    <row r="49" spans="2:14" ht="15" customHeight="1" thickBot="1">
      <c r="B49" s="239"/>
      <c r="C49" s="239"/>
      <c r="D49" s="239"/>
      <c r="E49" s="239"/>
      <c r="F49" s="239"/>
      <c r="G49" s="239"/>
      <c r="H49" s="239"/>
      <c r="I49" s="241"/>
      <c r="J49" s="239"/>
      <c r="K49" s="241"/>
      <c r="L49" s="241"/>
      <c r="M49" s="239"/>
      <c r="N49" s="241"/>
    </row>
    <row r="50" spans="2:14" ht="30" customHeight="1">
      <c r="B50" s="559" t="s">
        <v>186</v>
      </c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1"/>
    </row>
    <row r="51" spans="2:14" ht="36" customHeight="1">
      <c r="B51" s="638" t="s">
        <v>126</v>
      </c>
      <c r="C51" s="462"/>
      <c r="D51" s="462" t="s">
        <v>181</v>
      </c>
      <c r="E51" s="629" t="s">
        <v>177</v>
      </c>
      <c r="F51" s="505"/>
      <c r="G51" s="461"/>
      <c r="H51" s="462" t="s">
        <v>178</v>
      </c>
      <c r="I51" s="462"/>
      <c r="J51" s="462"/>
      <c r="K51" s="462" t="s">
        <v>183</v>
      </c>
      <c r="L51" s="462"/>
      <c r="M51" s="462" t="s">
        <v>182</v>
      </c>
      <c r="N51" s="487"/>
    </row>
    <row r="52" spans="2:14" ht="33" customHeight="1">
      <c r="B52" s="556"/>
      <c r="C52" s="479"/>
      <c r="D52" s="479"/>
      <c r="E52" s="632" t="s">
        <v>176</v>
      </c>
      <c r="F52" s="478"/>
      <c r="G52" s="35" t="s">
        <v>191</v>
      </c>
      <c r="H52" s="479" t="s">
        <v>176</v>
      </c>
      <c r="I52" s="479"/>
      <c r="J52" s="35" t="s">
        <v>191</v>
      </c>
      <c r="K52" s="35" t="s">
        <v>176</v>
      </c>
      <c r="L52" s="35" t="s">
        <v>191</v>
      </c>
      <c r="M52" s="35" t="s">
        <v>176</v>
      </c>
      <c r="N52" s="36" t="s">
        <v>191</v>
      </c>
    </row>
    <row r="53" spans="2:14" ht="15" customHeight="1" thickBot="1">
      <c r="B53" s="31"/>
      <c r="C53" s="31"/>
      <c r="D53" s="31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2:14" ht="30" customHeight="1">
      <c r="B54" s="482" t="s">
        <v>134</v>
      </c>
      <c r="C54" s="565"/>
      <c r="D54" s="32">
        <v>40</v>
      </c>
      <c r="E54" s="435" t="e">
        <f>C38/E7</f>
        <v>#DIV/0!</v>
      </c>
      <c r="F54" s="630"/>
      <c r="G54" s="98" t="e">
        <f>E54*100/D54</f>
        <v>#DIV/0!</v>
      </c>
      <c r="H54" s="475" t="e">
        <f>D54-E54-K54-M54</f>
        <v>#DIV/0!</v>
      </c>
      <c r="I54" s="475"/>
      <c r="J54" s="65" t="e">
        <f>H54*100/D54</f>
        <v>#DIV/0!</v>
      </c>
      <c r="K54" s="422"/>
      <c r="L54" s="424">
        <f>K54*100/D54</f>
        <v>0</v>
      </c>
      <c r="M54" s="422"/>
      <c r="N54" s="319">
        <f>M54*100/D54</f>
        <v>0</v>
      </c>
    </row>
    <row r="55" spans="2:14" ht="30" customHeight="1">
      <c r="B55" s="478" t="s">
        <v>174</v>
      </c>
      <c r="C55" s="479"/>
      <c r="D55" s="35">
        <v>40</v>
      </c>
      <c r="E55" s="631" t="e">
        <f>E54</f>
        <v>#DIV/0!</v>
      </c>
      <c r="F55" s="576"/>
      <c r="G55" s="43" t="e">
        <f>E55*100/D55</f>
        <v>#DIV/0!</v>
      </c>
      <c r="H55" s="583" t="e">
        <f>D55-E55-K55-M55</f>
        <v>#DIV/0!</v>
      </c>
      <c r="I55" s="583"/>
      <c r="J55" s="260" t="e">
        <f>H55*100/D55</f>
        <v>#DIV/0!</v>
      </c>
      <c r="K55" s="423"/>
      <c r="L55" s="425">
        <f>K55*100/D55</f>
        <v>0</v>
      </c>
      <c r="M55" s="423"/>
      <c r="N55" s="321">
        <f>M55*100/D55</f>
        <v>0</v>
      </c>
    </row>
    <row r="56" spans="2:14" ht="15" customHeight="1" thickBot="1">
      <c r="B56" s="253"/>
      <c r="C56" s="253"/>
      <c r="D56" s="253"/>
      <c r="E56" s="232"/>
      <c r="F56" s="232"/>
      <c r="G56" s="232"/>
      <c r="H56" s="232"/>
      <c r="I56" s="232"/>
      <c r="J56" s="232"/>
      <c r="K56" s="253"/>
      <c r="L56" s="232"/>
      <c r="M56" s="253"/>
      <c r="N56" s="232"/>
    </row>
    <row r="57" spans="2:15" ht="30" customHeight="1">
      <c r="B57" s="587" t="s">
        <v>85</v>
      </c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299"/>
    </row>
    <row r="58" spans="2:14" ht="15" customHeight="1" thickBot="1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s="308" customFormat="1" ht="39.75" customHeight="1">
      <c r="A59" s="296"/>
      <c r="B59" s="585"/>
      <c r="C59" s="628"/>
      <c r="D59" s="552" t="s">
        <v>101</v>
      </c>
      <c r="E59" s="553"/>
      <c r="F59" s="553" t="s">
        <v>99</v>
      </c>
      <c r="G59" s="553"/>
      <c r="H59" s="553"/>
      <c r="I59" s="553" t="s">
        <v>102</v>
      </c>
      <c r="J59" s="553"/>
      <c r="K59" s="45" t="s">
        <v>103</v>
      </c>
      <c r="L59" s="45" t="s">
        <v>131</v>
      </c>
      <c r="M59" s="467" t="s">
        <v>211</v>
      </c>
      <c r="N59" s="584"/>
    </row>
    <row r="60" spans="1:14" s="308" customFormat="1" ht="15" customHeight="1">
      <c r="A60" s="296"/>
      <c r="B60" s="94"/>
      <c r="C60" s="31"/>
      <c r="D60" s="31"/>
      <c r="F60" s="31"/>
      <c r="I60" s="31"/>
      <c r="J60" s="31"/>
      <c r="K60" s="31"/>
      <c r="L60" s="31"/>
      <c r="M60" s="74"/>
      <c r="N60" s="74"/>
    </row>
    <row r="61" spans="1:14" ht="30" customHeight="1">
      <c r="A61" s="308"/>
      <c r="B61" s="593" t="s">
        <v>26</v>
      </c>
      <c r="C61" s="551"/>
      <c r="D61" s="621">
        <f>AçõesColetivas!J38</f>
        <v>0</v>
      </c>
      <c r="E61" s="593"/>
      <c r="F61" s="621">
        <f>AçõesColetivas!J40</f>
        <v>0</v>
      </c>
      <c r="G61" s="622"/>
      <c r="H61" s="593"/>
      <c r="I61" s="551">
        <f>AçõesColetivas!J41</f>
        <v>0</v>
      </c>
      <c r="J61" s="551"/>
      <c r="K61" s="150">
        <f>AçõesColetivas!J43</f>
        <v>0</v>
      </c>
      <c r="L61" s="150">
        <f>AçõesColetivas!J45</f>
        <v>0</v>
      </c>
      <c r="M61" s="551">
        <f>SUM(D61:L61)</f>
        <v>0</v>
      </c>
      <c r="N61" s="525"/>
    </row>
  </sheetData>
  <sheetProtection sheet="1" objects="1" scenarios="1"/>
  <mergeCells count="91">
    <mergeCell ref="B2:N2"/>
    <mergeCell ref="B10:N10"/>
    <mergeCell ref="B12:C12"/>
    <mergeCell ref="I12:J12"/>
    <mergeCell ref="L12:N12"/>
    <mergeCell ref="I4:N4"/>
    <mergeCell ref="B4:G4"/>
    <mergeCell ref="B8:C8"/>
    <mergeCell ref="I8:J8"/>
    <mergeCell ref="B5:C5"/>
    <mergeCell ref="I5:J5"/>
    <mergeCell ref="B7:C7"/>
    <mergeCell ref="I7:J7"/>
    <mergeCell ref="B17:N17"/>
    <mergeCell ref="B19:B20"/>
    <mergeCell ref="C19:N19"/>
    <mergeCell ref="B14:C14"/>
    <mergeCell ref="I14:J14"/>
    <mergeCell ref="M14:N14"/>
    <mergeCell ref="B15:C15"/>
    <mergeCell ref="I15:J15"/>
    <mergeCell ref="F15:G15"/>
    <mergeCell ref="M15:N15"/>
    <mergeCell ref="B48:C48"/>
    <mergeCell ref="D48:E48"/>
    <mergeCell ref="L48:M48"/>
    <mergeCell ref="B47:C47"/>
    <mergeCell ref="D47:E47"/>
    <mergeCell ref="L47:M47"/>
    <mergeCell ref="F47:G47"/>
    <mergeCell ref="B50:N50"/>
    <mergeCell ref="B51:C52"/>
    <mergeCell ref="D51:D52"/>
    <mergeCell ref="K51:L51"/>
    <mergeCell ref="M51:N51"/>
    <mergeCell ref="H51:J51"/>
    <mergeCell ref="H52:I52"/>
    <mergeCell ref="M59:N59"/>
    <mergeCell ref="M61:N61"/>
    <mergeCell ref="C35:M35"/>
    <mergeCell ref="C36:M36"/>
    <mergeCell ref="C37:M37"/>
    <mergeCell ref="C38:M38"/>
    <mergeCell ref="C39:M39"/>
    <mergeCell ref="B54:C54"/>
    <mergeCell ref="B55:C55"/>
    <mergeCell ref="B57:N57"/>
    <mergeCell ref="H54:I54"/>
    <mergeCell ref="H55:I55"/>
    <mergeCell ref="H20:I20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D44:G44"/>
    <mergeCell ref="F45:G45"/>
    <mergeCell ref="B41:N41"/>
    <mergeCell ref="B43:N43"/>
    <mergeCell ref="B44:C45"/>
    <mergeCell ref="L44:N44"/>
    <mergeCell ref="D45:E45"/>
    <mergeCell ref="L45:M45"/>
    <mergeCell ref="I59:J59"/>
    <mergeCell ref="I61:J61"/>
    <mergeCell ref="E12:G12"/>
    <mergeCell ref="F14:G14"/>
    <mergeCell ref="F48:G48"/>
    <mergeCell ref="H44:K44"/>
    <mergeCell ref="H45:J45"/>
    <mergeCell ref="B46:J46"/>
    <mergeCell ref="H47:J47"/>
    <mergeCell ref="H48:J48"/>
    <mergeCell ref="B61:C61"/>
    <mergeCell ref="B59:C59"/>
    <mergeCell ref="E51:G51"/>
    <mergeCell ref="E54:F54"/>
    <mergeCell ref="E55:F55"/>
    <mergeCell ref="E52:F52"/>
    <mergeCell ref="F59:H59"/>
    <mergeCell ref="F61:H61"/>
    <mergeCell ref="D59:E59"/>
    <mergeCell ref="D61:E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2"/>
  <rowBreaks count="2" manualBreakCount="2">
    <brk id="16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wagnerf</cp:lastModifiedBy>
  <cp:lastPrinted>2007-06-24T20:23:38Z</cp:lastPrinted>
  <dcterms:created xsi:type="dcterms:W3CDTF">2006-06-18T13:43:10Z</dcterms:created>
  <dcterms:modified xsi:type="dcterms:W3CDTF">2008-05-27T21:22:07Z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